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opa\AppData\Local\Temp\notes90C43B\"/>
    </mc:Choice>
  </mc:AlternateContent>
  <xr:revisionPtr revIDLastSave="0" documentId="13_ncr:1_{DB129F1E-C93F-41B5-A1E1-8E99F736B6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.06.2021" sheetId="6" r:id="rId1"/>
  </sheets>
  <definedNames>
    <definedName name="_xlnm.Database" localSheetId="0">#REF!</definedName>
    <definedName name="_xlnm.Database">#REF!</definedName>
    <definedName name="_xlnm.Print_Titles" localSheetId="0">'30.06.2021'!$10:$12</definedName>
  </definedNames>
  <calcPr calcId="191029"/>
</workbook>
</file>

<file path=xl/calcChain.xml><?xml version="1.0" encoding="utf-8"?>
<calcChain xmlns="http://schemas.openxmlformats.org/spreadsheetml/2006/main">
  <c r="J216" i="6" l="1"/>
  <c r="J217" i="6"/>
  <c r="J218" i="6"/>
  <c r="J219" i="6"/>
  <c r="J220" i="6"/>
  <c r="J221" i="6"/>
  <c r="J222" i="6"/>
  <c r="J223" i="6"/>
  <c r="J224" i="6"/>
  <c r="J227" i="6"/>
  <c r="J228" i="6"/>
  <c r="J231" i="6"/>
  <c r="J232" i="6"/>
  <c r="J235" i="6"/>
  <c r="J238" i="6"/>
  <c r="J239" i="6"/>
  <c r="J240" i="6"/>
  <c r="J241" i="6"/>
  <c r="J244" i="6"/>
  <c r="J245" i="6"/>
  <c r="J252" i="6"/>
  <c r="J253" i="6"/>
  <c r="J256" i="6"/>
  <c r="J262" i="6"/>
  <c r="J265" i="6"/>
  <c r="J266" i="6"/>
  <c r="J267" i="6"/>
  <c r="J268" i="6"/>
  <c r="J271" i="6"/>
  <c r="J276" i="6"/>
  <c r="J281" i="6"/>
  <c r="J284" i="6"/>
  <c r="J285" i="6"/>
  <c r="J286" i="6"/>
  <c r="J289" i="6"/>
  <c r="J290" i="6"/>
  <c r="J313" i="6"/>
  <c r="J316" i="6"/>
  <c r="J317" i="6"/>
  <c r="J320" i="6"/>
  <c r="J321" i="6"/>
  <c r="J324" i="6"/>
  <c r="J325" i="6"/>
  <c r="J326" i="6"/>
  <c r="J327" i="6"/>
  <c r="J328" i="6"/>
  <c r="J331" i="6"/>
  <c r="J332" i="6"/>
  <c r="J333" i="6"/>
  <c r="J334" i="6"/>
  <c r="J335" i="6"/>
  <c r="J336" i="6"/>
  <c r="J339" i="6"/>
  <c r="J340" i="6"/>
  <c r="J343" i="6"/>
  <c r="J344" i="6"/>
  <c r="J345" i="6"/>
  <c r="J346" i="6"/>
  <c r="J347" i="6"/>
  <c r="J348" i="6"/>
  <c r="J351" i="6"/>
  <c r="J354" i="6"/>
  <c r="J359" i="6"/>
  <c r="J360" i="6"/>
  <c r="J361" i="6"/>
  <c r="J364" i="6"/>
  <c r="J365" i="6"/>
  <c r="J366" i="6"/>
  <c r="J367" i="6"/>
  <c r="J368" i="6"/>
  <c r="J369" i="6"/>
  <c r="J370" i="6"/>
  <c r="J374" i="6"/>
  <c r="J37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17" i="6"/>
  <c r="J418" i="6"/>
  <c r="J419" i="6"/>
  <c r="J420" i="6"/>
  <c r="J421" i="6"/>
  <c r="J424" i="6"/>
  <c r="J425" i="6"/>
  <c r="J428" i="6"/>
  <c r="J429" i="6"/>
  <c r="J434" i="6"/>
  <c r="J435" i="6"/>
  <c r="J436" i="6"/>
  <c r="J437" i="6"/>
  <c r="J438" i="6"/>
  <c r="J439" i="6"/>
  <c r="J445" i="6"/>
  <c r="J446" i="6"/>
  <c r="J449" i="6"/>
  <c r="J450" i="6"/>
  <c r="J454" i="6"/>
  <c r="J455" i="6"/>
  <c r="J456" i="6"/>
  <c r="J489" i="6"/>
  <c r="J490" i="6"/>
  <c r="J491" i="6"/>
  <c r="J494" i="6"/>
  <c r="J495" i="6"/>
  <c r="J498" i="6"/>
  <c r="J499" i="6"/>
  <c r="J502" i="6"/>
  <c r="J503" i="6"/>
  <c r="J504" i="6"/>
  <c r="J507" i="6"/>
  <c r="J508" i="6"/>
  <c r="J509" i="6"/>
  <c r="J512" i="6"/>
  <c r="J513" i="6"/>
  <c r="J516" i="6"/>
  <c r="J517" i="6"/>
  <c r="J521" i="6"/>
  <c r="J522" i="6"/>
  <c r="J523" i="6"/>
  <c r="J528" i="6"/>
  <c r="J529" i="6"/>
  <c r="J530" i="6"/>
  <c r="J531" i="6"/>
  <c r="J532" i="6"/>
  <c r="J533" i="6"/>
  <c r="J534" i="6"/>
  <c r="J535" i="6"/>
  <c r="J545" i="6"/>
  <c r="J552" i="6"/>
  <c r="J553" i="6"/>
  <c r="J554" i="6"/>
  <c r="J573" i="6"/>
  <c r="J574" i="6"/>
  <c r="J575" i="6"/>
  <c r="J576" i="6"/>
  <c r="J577" i="6"/>
  <c r="J580" i="6"/>
  <c r="J581" i="6"/>
  <c r="J584" i="6"/>
  <c r="J585" i="6"/>
  <c r="J586" i="6"/>
  <c r="J587" i="6"/>
  <c r="J590" i="6"/>
  <c r="J591" i="6"/>
  <c r="J592" i="6"/>
  <c r="J593" i="6"/>
  <c r="J594" i="6"/>
  <c r="J595" i="6"/>
  <c r="J596" i="6"/>
  <c r="J602" i="6"/>
  <c r="J606" i="6"/>
  <c r="J609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46" i="6"/>
  <c r="J647" i="6"/>
  <c r="J648" i="6"/>
  <c r="J649" i="6"/>
  <c r="J650" i="6"/>
  <c r="J651" i="6"/>
  <c r="J652" i="6"/>
  <c r="J653" i="6"/>
  <c r="J668" i="6"/>
  <c r="J677" i="6"/>
  <c r="J678" i="6"/>
  <c r="J679" i="6"/>
  <c r="J680" i="6"/>
  <c r="J709" i="6"/>
  <c r="J710" i="6"/>
  <c r="J713" i="6"/>
  <c r="J717" i="6"/>
  <c r="J718" i="6"/>
  <c r="J719" i="6"/>
  <c r="J722" i="6"/>
  <c r="J723" i="6"/>
  <c r="J736" i="6"/>
  <c r="J737" i="6"/>
  <c r="J738" i="6"/>
  <c r="J742" i="6"/>
  <c r="J743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H905" i="6"/>
  <c r="H414" i="6" l="1"/>
  <c r="J414" i="6" s="1"/>
  <c r="G361" i="6"/>
  <c r="G360" i="6"/>
  <c r="G359" i="6"/>
  <c r="H571" i="6" l="1"/>
  <c r="J571" i="6" l="1"/>
  <c r="J572" i="6"/>
  <c r="F754" i="6"/>
  <c r="G754" i="6"/>
  <c r="H754" i="6"/>
  <c r="E754" i="6"/>
  <c r="F581" i="6"/>
  <c r="E581" i="6"/>
  <c r="E537" i="6"/>
  <c r="F374" i="6"/>
  <c r="E374" i="6"/>
  <c r="F231" i="6"/>
  <c r="E231" i="6"/>
  <c r="G139" i="6"/>
  <c r="H139" i="6"/>
  <c r="E139" i="6"/>
  <c r="E114" i="6"/>
  <c r="I754" i="6" l="1"/>
  <c r="I428" i="6"/>
  <c r="I364" i="6"/>
  <c r="I365" i="6"/>
  <c r="I366" i="6"/>
  <c r="I367" i="6"/>
  <c r="I368" i="6"/>
  <c r="I369" i="6"/>
  <c r="I370" i="6"/>
  <c r="I281" i="6"/>
  <c r="I94" i="6"/>
  <c r="I95" i="6"/>
  <c r="I96" i="6"/>
  <c r="I97" i="6"/>
  <c r="H1000" i="6"/>
  <c r="H1010" i="6" l="1"/>
  <c r="H989" i="6" s="1"/>
  <c r="G571" i="6"/>
  <c r="H566" i="6"/>
  <c r="F687" i="6" l="1"/>
  <c r="G687" i="6"/>
  <c r="H687" i="6"/>
  <c r="J687" i="6" s="1"/>
  <c r="E687" i="6"/>
  <c r="F584" i="6"/>
  <c r="F606" i="6" l="1"/>
  <c r="F605" i="6"/>
  <c r="F585" i="6"/>
  <c r="F580" i="6"/>
  <c r="F570" i="6"/>
  <c r="F539" i="6"/>
  <c r="F527" i="6"/>
  <c r="F520" i="6"/>
  <c r="F512" i="6"/>
  <c r="F508" i="6"/>
  <c r="F507" i="6"/>
  <c r="F506" i="6"/>
  <c r="F499" i="6"/>
  <c r="F498" i="6"/>
  <c r="F497" i="6"/>
  <c r="F495" i="6"/>
  <c r="F489" i="6"/>
  <c r="F488" i="6"/>
  <c r="F454" i="6"/>
  <c r="F443" i="6"/>
  <c r="G443" i="6"/>
  <c r="H443" i="6"/>
  <c r="F449" i="6"/>
  <c r="F441" i="6"/>
  <c r="F439" i="6"/>
  <c r="F431" i="6"/>
  <c r="F417" i="6"/>
  <c r="F416" i="6"/>
  <c r="F361" i="6"/>
  <c r="F360" i="6"/>
  <c r="F359" i="6"/>
  <c r="J444" i="6" l="1"/>
  <c r="F332" i="6"/>
  <c r="F324" i="6"/>
  <c r="F317" i="6"/>
  <c r="F315" i="6"/>
  <c r="F313" i="6"/>
  <c r="F289" i="6"/>
  <c r="F278" i="6"/>
  <c r="F273" i="6"/>
  <c r="F271" i="6"/>
  <c r="F259" i="6"/>
  <c r="F235" i="6"/>
  <c r="F234" i="6"/>
  <c r="F228" i="6"/>
  <c r="F227" i="6"/>
  <c r="F220" i="6"/>
  <c r="F217" i="6"/>
  <c r="F216" i="6"/>
  <c r="F93" i="6"/>
  <c r="F191" i="6"/>
  <c r="F162" i="6"/>
  <c r="F159" i="6"/>
  <c r="F154" i="6"/>
  <c r="F107" i="6"/>
  <c r="I107" i="6" s="1"/>
  <c r="F82" i="6"/>
  <c r="F81" i="6"/>
  <c r="F79" i="6"/>
  <c r="F78" i="6"/>
  <c r="F75" i="6"/>
  <c r="F59" i="6"/>
  <c r="F58" i="6"/>
  <c r="F50" i="6"/>
  <c r="F49" i="6"/>
  <c r="F48" i="6"/>
  <c r="F40" i="6"/>
  <c r="F24" i="6"/>
  <c r="F139" i="6" l="1"/>
  <c r="G80" i="6"/>
  <c r="I498" i="6" l="1"/>
  <c r="H309" i="6" l="1"/>
  <c r="F1392" i="6" l="1"/>
  <c r="G1392" i="6"/>
  <c r="H1392" i="6"/>
  <c r="I1392" i="6" l="1"/>
  <c r="E1392" i="6"/>
  <c r="H1009" i="6"/>
  <c r="G1009" i="6"/>
  <c r="F1009" i="6"/>
  <c r="E1009" i="6"/>
  <c r="E443" i="6" l="1"/>
  <c r="H486" i="6"/>
  <c r="F452" i="6"/>
  <c r="G452" i="6"/>
  <c r="H452" i="6"/>
  <c r="F1108" i="6"/>
  <c r="G1108" i="6"/>
  <c r="H1108" i="6"/>
  <c r="E1108" i="6"/>
  <c r="F129" i="6"/>
  <c r="G129" i="6"/>
  <c r="H129" i="6"/>
  <c r="E129" i="6"/>
  <c r="J453" i="6" l="1"/>
  <c r="E20" i="6"/>
  <c r="E19" i="6" s="1"/>
  <c r="E18" i="6" s="1"/>
  <c r="E23" i="6"/>
  <c r="E22" i="6" s="1"/>
  <c r="E27" i="6"/>
  <c r="E26" i="6" s="1"/>
  <c r="E39" i="6"/>
  <c r="E53" i="6"/>
  <c r="E669" i="6" s="1"/>
  <c r="E57" i="6"/>
  <c r="E56" i="6" s="1"/>
  <c r="E68" i="6"/>
  <c r="E73" i="6"/>
  <c r="E689" i="6" s="1"/>
  <c r="E694" i="6"/>
  <c r="E698" i="6"/>
  <c r="E84" i="6"/>
  <c r="E699" i="6" s="1"/>
  <c r="E89" i="6"/>
  <c r="E92" i="6"/>
  <c r="E103" i="6"/>
  <c r="E109" i="6"/>
  <c r="E108" i="6" s="1"/>
  <c r="E116" i="6"/>
  <c r="E122" i="6"/>
  <c r="E121" i="6" s="1"/>
  <c r="E134" i="6"/>
  <c r="E128" i="6" s="1"/>
  <c r="E166" i="6"/>
  <c r="E173" i="6"/>
  <c r="E195" i="6"/>
  <c r="E197" i="6"/>
  <c r="E202" i="6"/>
  <c r="E209" i="6"/>
  <c r="E220" i="6"/>
  <c r="E801" i="6" s="1"/>
  <c r="E225" i="6"/>
  <c r="E1179" i="6" s="1"/>
  <c r="E229" i="6"/>
  <c r="E236" i="6"/>
  <c r="E233" i="6" s="1"/>
  <c r="E246" i="6"/>
  <c r="E248" i="6"/>
  <c r="E250" i="6"/>
  <c r="E254" i="6"/>
  <c r="E260" i="6"/>
  <c r="E258" i="6" s="1"/>
  <c r="E263" i="6"/>
  <c r="E269" i="6"/>
  <c r="E274" i="6"/>
  <c r="E272" i="6" s="1"/>
  <c r="E279" i="6"/>
  <c r="E277" i="6" s="1"/>
  <c r="E287" i="6"/>
  <c r="E837" i="6" s="1"/>
  <c r="E293" i="6"/>
  <c r="E297" i="6"/>
  <c r="E301" i="6"/>
  <c r="E302" i="6"/>
  <c r="E303" i="6"/>
  <c r="E304" i="6"/>
  <c r="E306" i="6"/>
  <c r="E307" i="6"/>
  <c r="E310" i="6"/>
  <c r="E308" i="6" s="1"/>
  <c r="E314" i="6"/>
  <c r="E318" i="6"/>
  <c r="E1228" i="6" s="1"/>
  <c r="E1227" i="6" s="1"/>
  <c r="E329" i="6"/>
  <c r="E322" i="6" s="1"/>
  <c r="E338" i="6"/>
  <c r="E867" i="6" s="1"/>
  <c r="E341" i="6"/>
  <c r="E349" i="6"/>
  <c r="E352" i="6"/>
  <c r="E357" i="6"/>
  <c r="E362" i="6"/>
  <c r="E296" i="6" s="1"/>
  <c r="E372" i="6"/>
  <c r="E371" i="6" s="1"/>
  <c r="E378" i="6"/>
  <c r="E380" i="6"/>
  <c r="E1254" i="6" s="1"/>
  <c r="E381" i="6"/>
  <c r="E1255" i="6" s="1"/>
  <c r="E384" i="6"/>
  <c r="E382" i="6" s="1"/>
  <c r="E376" i="6" s="1"/>
  <c r="E401" i="6"/>
  <c r="E402" i="6"/>
  <c r="E404" i="6"/>
  <c r="E406" i="6"/>
  <c r="E408" i="6"/>
  <c r="E409" i="6"/>
  <c r="E410" i="6"/>
  <c r="E422" i="6"/>
  <c r="E1288" i="6" s="1"/>
  <c r="E1277" i="6" s="1"/>
  <c r="E426" i="6"/>
  <c r="E1292" i="6" s="1"/>
  <c r="E1279" i="6" s="1"/>
  <c r="E432" i="6"/>
  <c r="E430" i="6" s="1"/>
  <c r="E447" i="6"/>
  <c r="E442" i="6" s="1"/>
  <c r="E453" i="6"/>
  <c r="E913" i="6" s="1"/>
  <c r="E454" i="6"/>
  <c r="E462" i="6"/>
  <c r="E463" i="6"/>
  <c r="E470" i="6"/>
  <c r="E458" i="6" s="1"/>
  <c r="E471" i="6"/>
  <c r="E473" i="6"/>
  <c r="E472" i="6" s="1"/>
  <c r="E475" i="6"/>
  <c r="E476" i="6"/>
  <c r="E478" i="6"/>
  <c r="E479" i="6"/>
  <c r="E480" i="6"/>
  <c r="E481" i="6"/>
  <c r="E466" i="6" s="1"/>
  <c r="E934" i="6" s="1"/>
  <c r="E923" i="6" s="1"/>
  <c r="E483" i="6"/>
  <c r="E1327" i="6" s="1"/>
  <c r="E484" i="6"/>
  <c r="E1328" i="6" s="1"/>
  <c r="E485" i="6"/>
  <c r="E468" i="6" s="1"/>
  <c r="E211" i="6" s="1"/>
  <c r="E490" i="6"/>
  <c r="E492" i="6"/>
  <c r="E496" i="6"/>
  <c r="E947" i="6" s="1"/>
  <c r="E500" i="6"/>
  <c r="E510" i="6"/>
  <c r="E505" i="6" s="1"/>
  <c r="E514" i="6"/>
  <c r="E519" i="6"/>
  <c r="E518" i="6" s="1"/>
  <c r="E526" i="6"/>
  <c r="E524" i="6" s="1"/>
  <c r="E538" i="6"/>
  <c r="E536" i="6" s="1"/>
  <c r="E540" i="6"/>
  <c r="E543" i="6"/>
  <c r="E542" i="6" s="1"/>
  <c r="E550" i="6"/>
  <c r="E556" i="6"/>
  <c r="E557" i="6"/>
  <c r="E561" i="6"/>
  <c r="E564" i="6"/>
  <c r="E565" i="6"/>
  <c r="E567" i="6"/>
  <c r="E212" i="6" s="1"/>
  <c r="E570" i="6"/>
  <c r="E569" i="6" s="1"/>
  <c r="E578" i="6"/>
  <c r="E555" i="6" s="1"/>
  <c r="E582" i="6"/>
  <c r="E559" i="6" s="1"/>
  <c r="E588" i="6"/>
  <c r="E598" i="6"/>
  <c r="E1002" i="6" s="1"/>
  <c r="E600" i="6"/>
  <c r="E604" i="6"/>
  <c r="E549" i="6" s="1"/>
  <c r="E607" i="6"/>
  <c r="E637" i="6"/>
  <c r="E636" i="6" s="1"/>
  <c r="E635" i="6" s="1"/>
  <c r="E634" i="6" s="1"/>
  <c r="E640" i="6"/>
  <c r="E641" i="6"/>
  <c r="E644" i="6"/>
  <c r="E643" i="6" s="1"/>
  <c r="E642" i="6" s="1"/>
  <c r="E656" i="6"/>
  <c r="E657" i="6"/>
  <c r="E658" i="6"/>
  <c r="E659" i="6"/>
  <c r="E660" i="6"/>
  <c r="E661" i="6"/>
  <c r="E662" i="6"/>
  <c r="E665" i="6"/>
  <c r="E666" i="6"/>
  <c r="E671" i="6"/>
  <c r="E674" i="6"/>
  <c r="E675" i="6"/>
  <c r="E685" i="6"/>
  <c r="E684" i="6" s="1"/>
  <c r="E690" i="6"/>
  <c r="E691" i="6"/>
  <c r="E692" i="6"/>
  <c r="E693" i="6"/>
  <c r="E696" i="6"/>
  <c r="E697" i="6"/>
  <c r="E700" i="6"/>
  <c r="E701" i="6"/>
  <c r="E702" i="6"/>
  <c r="E705" i="6"/>
  <c r="E704" i="6" s="1"/>
  <c r="E711" i="6"/>
  <c r="E714" i="6"/>
  <c r="E715" i="6"/>
  <c r="E724" i="6"/>
  <c r="E720" i="6" s="1"/>
  <c r="E727" i="6"/>
  <c r="E728" i="6"/>
  <c r="E730" i="6"/>
  <c r="E731" i="6"/>
  <c r="E734" i="6"/>
  <c r="E733" i="6" s="1"/>
  <c r="E740" i="6"/>
  <c r="E745" i="6"/>
  <c r="E744" i="6" s="1"/>
  <c r="E749" i="6"/>
  <c r="E750" i="6"/>
  <c r="E751" i="6"/>
  <c r="E752" i="6"/>
  <c r="E753" i="6"/>
  <c r="E755" i="6"/>
  <c r="E756" i="6"/>
  <c r="E798" i="6"/>
  <c r="E799" i="6"/>
  <c r="E803" i="6"/>
  <c r="E804" i="6"/>
  <c r="E813" i="6"/>
  <c r="E812" i="6" s="1"/>
  <c r="E809" i="6" s="1"/>
  <c r="E787" i="6" s="1"/>
  <c r="E818" i="6"/>
  <c r="E817" i="6" s="1"/>
  <c r="E819" i="6"/>
  <c r="E824" i="6"/>
  <c r="E823" i="6" s="1"/>
  <c r="E822" i="6" s="1"/>
  <c r="E826" i="6"/>
  <c r="E827" i="6"/>
  <c r="E785" i="6" s="1"/>
  <c r="E829" i="6"/>
  <c r="E828" i="6" s="1"/>
  <c r="E831" i="6"/>
  <c r="E830" i="6" s="1"/>
  <c r="E839" i="6"/>
  <c r="E840" i="6"/>
  <c r="E841" i="6"/>
  <c r="E851" i="6"/>
  <c r="E852" i="6"/>
  <c r="E854" i="6"/>
  <c r="E855" i="6"/>
  <c r="E856" i="6"/>
  <c r="E857" i="6"/>
  <c r="E859" i="6"/>
  <c r="E860" i="6"/>
  <c r="E862" i="6"/>
  <c r="E863" i="6"/>
  <c r="E864" i="6"/>
  <c r="E865" i="6"/>
  <c r="E868" i="6"/>
  <c r="E869" i="6"/>
  <c r="E870" i="6"/>
  <c r="E872" i="6"/>
  <c r="E873" i="6"/>
  <c r="E877" i="6"/>
  <c r="E878" i="6"/>
  <c r="E879" i="6"/>
  <c r="E880" i="6"/>
  <c r="E881" i="6"/>
  <c r="E882" i="6"/>
  <c r="E885" i="6"/>
  <c r="E886" i="6"/>
  <c r="E846" i="6" s="1"/>
  <c r="E889" i="6"/>
  <c r="E890" i="6"/>
  <c r="E891" i="6"/>
  <c r="E892" i="6"/>
  <c r="E893" i="6"/>
  <c r="E894" i="6"/>
  <c r="E903" i="6"/>
  <c r="E896" i="6" s="1"/>
  <c r="E904" i="6"/>
  <c r="E897" i="6" s="1"/>
  <c r="E907" i="6"/>
  <c r="E906" i="6" s="1"/>
  <c r="E909" i="6"/>
  <c r="E910" i="6"/>
  <c r="E914" i="6"/>
  <c r="E915" i="6"/>
  <c r="E943" i="6"/>
  <c r="E944" i="6"/>
  <c r="E946" i="6"/>
  <c r="E948" i="6"/>
  <c r="E932" i="6" s="1"/>
  <c r="E949" i="6"/>
  <c r="E933" i="6" s="1"/>
  <c r="E950" i="6"/>
  <c r="E951" i="6"/>
  <c r="E953" i="6"/>
  <c r="E954" i="6"/>
  <c r="E955" i="6"/>
  <c r="E956" i="6"/>
  <c r="E959" i="6"/>
  <c r="E960" i="6"/>
  <c r="E961" i="6"/>
  <c r="E963" i="6"/>
  <c r="E962" i="6" s="1"/>
  <c r="E964" i="6"/>
  <c r="E969" i="6"/>
  <c r="E971" i="6"/>
  <c r="E970" i="6" s="1"/>
  <c r="E974" i="6"/>
  <c r="E973" i="6" s="1"/>
  <c r="E972" i="6" s="1"/>
  <c r="E993" i="6"/>
  <c r="E994" i="6"/>
  <c r="E995" i="6"/>
  <c r="E988" i="6" s="1"/>
  <c r="E1000" i="6"/>
  <c r="E989" i="6" s="1"/>
  <c r="E1003" i="6"/>
  <c r="E1005" i="6"/>
  <c r="E1004" i="6" s="1"/>
  <c r="E977" i="6" s="1"/>
  <c r="E786" i="6" s="1"/>
  <c r="E1008" i="6"/>
  <c r="E1006" i="6" s="1"/>
  <c r="E1023" i="6"/>
  <c r="E1022" i="6" s="1"/>
  <c r="E1021" i="6" s="1"/>
  <c r="E1020" i="6" s="1"/>
  <c r="E1019" i="6" s="1"/>
  <c r="E1027" i="6"/>
  <c r="E1026" i="6" s="1"/>
  <c r="E1039" i="6"/>
  <c r="E1054" i="6"/>
  <c r="E1063" i="6"/>
  <c r="E1069" i="6"/>
  <c r="E1072" i="6"/>
  <c r="E1090" i="6"/>
  <c r="E1091" i="6"/>
  <c r="E1095" i="6"/>
  <c r="E1093" i="6" s="1"/>
  <c r="E1099" i="6"/>
  <c r="E1098" i="6" s="1"/>
  <c r="E1097" i="6" s="1"/>
  <c r="E1109" i="6"/>
  <c r="E1105" i="6" s="1"/>
  <c r="E1110" i="6"/>
  <c r="E1126" i="6"/>
  <c r="E1127" i="6"/>
  <c r="E1128" i="6"/>
  <c r="E1129" i="6"/>
  <c r="E1130" i="6"/>
  <c r="E1139" i="6"/>
  <c r="E1140" i="6"/>
  <c r="E1157" i="6"/>
  <c r="E1159" i="6"/>
  <c r="E1160" i="6"/>
  <c r="E1173" i="6"/>
  <c r="E1175" i="6"/>
  <c r="E1165" i="6" s="1"/>
  <c r="E1176" i="6"/>
  <c r="E1177" i="6"/>
  <c r="E1178" i="6"/>
  <c r="E1180" i="6"/>
  <c r="E1181" i="6"/>
  <c r="E1182" i="6"/>
  <c r="E1184" i="6"/>
  <c r="E1185" i="6"/>
  <c r="E1188" i="6"/>
  <c r="E1189" i="6"/>
  <c r="E1191" i="6"/>
  <c r="E1201" i="6"/>
  <c r="E1202" i="6"/>
  <c r="E1203" i="6"/>
  <c r="E1205" i="6"/>
  <c r="E1204" i="6" s="1"/>
  <c r="E1206" i="6"/>
  <c r="E1207" i="6"/>
  <c r="E1210" i="6"/>
  <c r="E1211" i="6"/>
  <c r="E1213" i="6"/>
  <c r="E1212" i="6" s="1"/>
  <c r="E1214" i="6"/>
  <c r="E1215" i="6"/>
  <c r="E1229" i="6"/>
  <c r="E1230" i="6"/>
  <c r="E1232" i="6"/>
  <c r="E1233" i="6"/>
  <c r="E1234" i="6"/>
  <c r="E1235" i="6"/>
  <c r="E1236" i="6"/>
  <c r="E1237" i="6"/>
  <c r="E1238" i="6"/>
  <c r="E1241" i="6"/>
  <c r="E1219" i="6" s="1"/>
  <c r="E1242" i="6"/>
  <c r="E1243" i="6"/>
  <c r="E1244" i="6"/>
  <c r="E1245" i="6"/>
  <c r="E1246" i="6"/>
  <c r="E1247" i="6"/>
  <c r="E1263" i="6"/>
  <c r="E1264" i="6"/>
  <c r="E1268" i="6"/>
  <c r="E1267" i="6" s="1"/>
  <c r="E1269" i="6"/>
  <c r="E1270" i="6"/>
  <c r="E1271" i="6"/>
  <c r="E1272" i="6"/>
  <c r="E1273" i="6"/>
  <c r="E1274" i="6"/>
  <c r="E1284" i="6"/>
  <c r="E1285" i="6"/>
  <c r="E1286" i="6"/>
  <c r="E1287" i="6"/>
  <c r="E1289" i="6"/>
  <c r="E1290" i="6"/>
  <c r="E1291" i="6"/>
  <c r="E1302" i="6"/>
  <c r="E1303" i="6"/>
  <c r="E1306" i="6"/>
  <c r="E1307" i="6"/>
  <c r="E1308" i="6"/>
  <c r="E1309" i="6"/>
  <c r="E1311" i="6"/>
  <c r="E1312" i="6"/>
  <c r="E1314" i="6"/>
  <c r="E1323" i="6"/>
  <c r="E1324" i="6"/>
  <c r="E1325" i="6"/>
  <c r="E1331" i="6"/>
  <c r="E1332" i="6"/>
  <c r="E1333" i="6"/>
  <c r="E1335" i="6"/>
  <c r="E1336" i="6"/>
  <c r="E1339" i="6"/>
  <c r="E1344" i="6"/>
  <c r="E1345" i="6"/>
  <c r="E1347" i="6"/>
  <c r="E1346" i="6" s="1"/>
  <c r="E1351" i="6"/>
  <c r="E1355" i="6"/>
  <c r="E1354" i="6" s="1"/>
  <c r="E1357" i="6"/>
  <c r="E1358" i="6"/>
  <c r="E1359" i="6"/>
  <c r="E1360" i="6"/>
  <c r="E1361" i="6"/>
  <c r="E1362" i="6"/>
  <c r="E1363" i="6"/>
  <c r="E1368" i="6"/>
  <c r="E1370" i="6"/>
  <c r="E1371" i="6"/>
  <c r="E1372" i="6"/>
  <c r="E1373" i="6"/>
  <c r="E1375" i="6"/>
  <c r="E1376" i="6"/>
  <c r="E1377" i="6"/>
  <c r="E1379" i="6"/>
  <c r="E1380" i="6"/>
  <c r="E1381" i="6"/>
  <c r="E1382" i="6"/>
  <c r="E1383" i="6"/>
  <c r="E1386" i="6"/>
  <c r="E1384" i="6" s="1"/>
  <c r="E1388" i="6"/>
  <c r="E1390" i="6"/>
  <c r="E1389" i="6" s="1"/>
  <c r="E1394" i="6"/>
  <c r="E1164" i="6" s="1"/>
  <c r="F20" i="6"/>
  <c r="F19" i="6" s="1"/>
  <c r="F18" i="6" s="1"/>
  <c r="F640" i="6"/>
  <c r="F27" i="6"/>
  <c r="F26" i="6" s="1"/>
  <c r="F39" i="6"/>
  <c r="F53" i="6"/>
  <c r="F669" i="6" s="1"/>
  <c r="F57" i="6"/>
  <c r="F56" i="6" s="1"/>
  <c r="F68" i="6"/>
  <c r="F691" i="6"/>
  <c r="F698" i="6"/>
  <c r="F84" i="6"/>
  <c r="F699" i="6" s="1"/>
  <c r="F89" i="6"/>
  <c r="F92" i="6"/>
  <c r="F103" i="6"/>
  <c r="F109" i="6"/>
  <c r="F108" i="6" s="1"/>
  <c r="F116" i="6"/>
  <c r="F122" i="6"/>
  <c r="F121" i="6" s="1"/>
  <c r="F134" i="6"/>
  <c r="F166" i="6"/>
  <c r="F173" i="6"/>
  <c r="F195" i="6"/>
  <c r="F197" i="6"/>
  <c r="F202" i="6"/>
  <c r="F801" i="6"/>
  <c r="F225" i="6"/>
  <c r="F1179" i="6" s="1"/>
  <c r="F229" i="6"/>
  <c r="F209" i="6"/>
  <c r="F236" i="6"/>
  <c r="F1186" i="6" s="1"/>
  <c r="F246" i="6"/>
  <c r="F250" i="6"/>
  <c r="F254" i="6"/>
  <c r="F260" i="6"/>
  <c r="F249" i="6" s="1"/>
  <c r="F263" i="6"/>
  <c r="F826" i="6"/>
  <c r="F274" i="6"/>
  <c r="F272" i="6" s="1"/>
  <c r="F279" i="6"/>
  <c r="F277" i="6" s="1"/>
  <c r="F287" i="6"/>
  <c r="F837" i="6" s="1"/>
  <c r="F301" i="6"/>
  <c r="F306" i="6"/>
  <c r="F307" i="6"/>
  <c r="F310" i="6"/>
  <c r="F308" i="6" s="1"/>
  <c r="F293" i="6"/>
  <c r="F314" i="6"/>
  <c r="F304" i="6"/>
  <c r="F318" i="6"/>
  <c r="F305" i="6" s="1"/>
  <c r="F329" i="6"/>
  <c r="F292" i="6"/>
  <c r="F302" i="6"/>
  <c r="F303" i="6"/>
  <c r="F349" i="6"/>
  <c r="F352" i="6"/>
  <c r="F357" i="6"/>
  <c r="F362" i="6"/>
  <c r="F372" i="6"/>
  <c r="F371" i="6" s="1"/>
  <c r="F297" i="6"/>
  <c r="F378" i="6"/>
  <c r="F381" i="6"/>
  <c r="F384" i="6"/>
  <c r="F401" i="6"/>
  <c r="F402" i="6"/>
  <c r="F406" i="6"/>
  <c r="F408" i="6"/>
  <c r="F409" i="6"/>
  <c r="F410" i="6"/>
  <c r="F422" i="6"/>
  <c r="F1288" i="6" s="1"/>
  <c r="F1277" i="6" s="1"/>
  <c r="F426" i="6"/>
  <c r="F412" i="6" s="1"/>
  <c r="F432" i="6"/>
  <c r="F430" i="6" s="1"/>
  <c r="F909" i="6"/>
  <c r="F447" i="6"/>
  <c r="F442" i="6" s="1"/>
  <c r="F451" i="6"/>
  <c r="F411" i="6" s="1"/>
  <c r="F462" i="6"/>
  <c r="F463" i="6"/>
  <c r="F470" i="6"/>
  <c r="F471" i="6"/>
  <c r="F475" i="6"/>
  <c r="F476" i="6"/>
  <c r="F478" i="6"/>
  <c r="F481" i="6"/>
  <c r="F466" i="6" s="1"/>
  <c r="F934" i="6" s="1"/>
  <c r="F923" i="6" s="1"/>
  <c r="F483" i="6"/>
  <c r="F1327" i="6" s="1"/>
  <c r="F484" i="6"/>
  <c r="F1328" i="6" s="1"/>
  <c r="F485" i="6"/>
  <c r="F468" i="6" s="1"/>
  <c r="F211" i="6" s="1"/>
  <c r="F490" i="6"/>
  <c r="F945" i="6" s="1"/>
  <c r="F480" i="6"/>
  <c r="F496" i="6"/>
  <c r="F947" i="6" s="1"/>
  <c r="F500" i="6"/>
  <c r="F473" i="6"/>
  <c r="F510" i="6"/>
  <c r="F514" i="6"/>
  <c r="F519" i="6"/>
  <c r="F518" i="6" s="1"/>
  <c r="F526" i="6"/>
  <c r="F524" i="6" s="1"/>
  <c r="F538" i="6"/>
  <c r="F540" i="6"/>
  <c r="F543" i="6"/>
  <c r="F542" i="6" s="1"/>
  <c r="F550" i="6"/>
  <c r="F556" i="6"/>
  <c r="F561" i="6"/>
  <c r="F564" i="6"/>
  <c r="F565" i="6"/>
  <c r="F567" i="6"/>
  <c r="F212" i="6" s="1"/>
  <c r="F569" i="6"/>
  <c r="F557" i="6"/>
  <c r="F562" i="6"/>
  <c r="F588" i="6"/>
  <c r="F598" i="6"/>
  <c r="F600" i="6"/>
  <c r="F548" i="6" s="1"/>
  <c r="F196" i="6" s="1"/>
  <c r="F604" i="6"/>
  <c r="F549" i="6" s="1"/>
  <c r="F607" i="6"/>
  <c r="F637" i="6"/>
  <c r="F636" i="6" s="1"/>
  <c r="F635" i="6" s="1"/>
  <c r="F634" i="6" s="1"/>
  <c r="F641" i="6"/>
  <c r="F644" i="6"/>
  <c r="F643" i="6" s="1"/>
  <c r="F642" i="6" s="1"/>
  <c r="F656" i="6"/>
  <c r="F657" i="6"/>
  <c r="F658" i="6"/>
  <c r="F659" i="6"/>
  <c r="F660" i="6"/>
  <c r="F661" i="6"/>
  <c r="F662" i="6"/>
  <c r="F665" i="6"/>
  <c r="F666" i="6"/>
  <c r="F671" i="6"/>
  <c r="F674" i="6"/>
  <c r="F675" i="6"/>
  <c r="F685" i="6"/>
  <c r="F684" i="6" s="1"/>
  <c r="F690" i="6"/>
  <c r="F692" i="6"/>
  <c r="F693" i="6"/>
  <c r="F694" i="6"/>
  <c r="F696" i="6"/>
  <c r="F697" i="6"/>
  <c r="F700" i="6"/>
  <c r="F701" i="6"/>
  <c r="F702" i="6"/>
  <c r="F705" i="6"/>
  <c r="F704" i="6" s="1"/>
  <c r="F711" i="6"/>
  <c r="F714" i="6"/>
  <c r="F715" i="6"/>
  <c r="F724" i="6"/>
  <c r="F720" i="6" s="1"/>
  <c r="F727" i="6"/>
  <c r="F728" i="6"/>
  <c r="F730" i="6"/>
  <c r="F731" i="6"/>
  <c r="F734" i="6"/>
  <c r="F733" i="6" s="1"/>
  <c r="F740" i="6"/>
  <c r="F745" i="6"/>
  <c r="F744" i="6" s="1"/>
  <c r="F749" i="6"/>
  <c r="F751" i="6"/>
  <c r="F752" i="6"/>
  <c r="F753" i="6"/>
  <c r="F755" i="6"/>
  <c r="F756" i="6"/>
  <c r="F798" i="6"/>
  <c r="F799" i="6"/>
  <c r="F804" i="6"/>
  <c r="F813" i="6"/>
  <c r="F812" i="6" s="1"/>
  <c r="F809" i="6" s="1"/>
  <c r="F818" i="6"/>
  <c r="F819" i="6"/>
  <c r="F824" i="6"/>
  <c r="F823" i="6" s="1"/>
  <c r="F822" i="6" s="1"/>
  <c r="F827" i="6"/>
  <c r="F785" i="6" s="1"/>
  <c r="F829" i="6"/>
  <c r="F828" i="6" s="1"/>
  <c r="F831" i="6"/>
  <c r="F830" i="6" s="1"/>
  <c r="F839" i="6"/>
  <c r="F840" i="6"/>
  <c r="F841" i="6"/>
  <c r="F851" i="6"/>
  <c r="F852" i="6"/>
  <c r="F855" i="6"/>
  <c r="F856" i="6"/>
  <c r="F857" i="6"/>
  <c r="F859" i="6"/>
  <c r="F860" i="6"/>
  <c r="F862" i="6"/>
  <c r="F863" i="6"/>
  <c r="F864" i="6"/>
  <c r="F865" i="6"/>
  <c r="F868" i="6"/>
  <c r="F869" i="6"/>
  <c r="F870" i="6"/>
  <c r="F872" i="6"/>
  <c r="F873" i="6"/>
  <c r="F877" i="6"/>
  <c r="F878" i="6"/>
  <c r="F879" i="6"/>
  <c r="F880" i="6"/>
  <c r="F881" i="6"/>
  <c r="F882" i="6"/>
  <c r="F885" i="6"/>
  <c r="F886" i="6"/>
  <c r="F846" i="6" s="1"/>
  <c r="F889" i="6"/>
  <c r="F890" i="6"/>
  <c r="F891" i="6"/>
  <c r="F892" i="6"/>
  <c r="F893" i="6"/>
  <c r="F894" i="6"/>
  <c r="F903" i="6"/>
  <c r="F896" i="6" s="1"/>
  <c r="F904" i="6"/>
  <c r="F897" i="6" s="1"/>
  <c r="F907" i="6"/>
  <c r="F910" i="6"/>
  <c r="F913" i="6"/>
  <c r="F914" i="6"/>
  <c r="F915" i="6"/>
  <c r="F943" i="6"/>
  <c r="F944" i="6"/>
  <c r="F946" i="6"/>
  <c r="F948" i="6"/>
  <c r="F932" i="6" s="1"/>
  <c r="F949" i="6"/>
  <c r="F933" i="6" s="1"/>
  <c r="F950" i="6"/>
  <c r="F951" i="6"/>
  <c r="F953" i="6"/>
  <c r="F954" i="6"/>
  <c r="F955" i="6"/>
  <c r="F956" i="6"/>
  <c r="F959" i="6"/>
  <c r="F960" i="6"/>
  <c r="F961" i="6"/>
  <c r="F967" i="6"/>
  <c r="F966" i="6" s="1"/>
  <c r="F965" i="6" s="1"/>
  <c r="F969" i="6"/>
  <c r="F971" i="6"/>
  <c r="F970" i="6" s="1"/>
  <c r="F974" i="6"/>
  <c r="F973" i="6" s="1"/>
  <c r="F972" i="6" s="1"/>
  <c r="F993" i="6"/>
  <c r="F994" i="6"/>
  <c r="F995" i="6"/>
  <c r="F988" i="6" s="1"/>
  <c r="F1000" i="6"/>
  <c r="F989" i="6" s="1"/>
  <c r="F1002" i="6"/>
  <c r="F1003" i="6"/>
  <c r="F1005" i="6"/>
  <c r="F1004" i="6" s="1"/>
  <c r="F977" i="6" s="1"/>
  <c r="F786" i="6" s="1"/>
  <c r="F1008" i="6"/>
  <c r="F978" i="6" s="1"/>
  <c r="F1023" i="6"/>
  <c r="F1022" i="6" s="1"/>
  <c r="F1021" i="6" s="1"/>
  <c r="F1020" i="6" s="1"/>
  <c r="F1019" i="6" s="1"/>
  <c r="F1027" i="6"/>
  <c r="F1026" i="6" s="1"/>
  <c r="F1039" i="6"/>
  <c r="F1054" i="6"/>
  <c r="F1063" i="6"/>
  <c r="F1069" i="6"/>
  <c r="F1072" i="6"/>
  <c r="F1090" i="6"/>
  <c r="F1091" i="6"/>
  <c r="F1095" i="6"/>
  <c r="F1093" i="6" s="1"/>
  <c r="F1099" i="6"/>
  <c r="F1098" i="6" s="1"/>
  <c r="F1097" i="6" s="1"/>
  <c r="F1109" i="6"/>
  <c r="F1105" i="6" s="1"/>
  <c r="F1110" i="6"/>
  <c r="F1126" i="6"/>
  <c r="F1127" i="6"/>
  <c r="F1128" i="6"/>
  <c r="F1129" i="6"/>
  <c r="F1130" i="6"/>
  <c r="F1139" i="6"/>
  <c r="F1140" i="6"/>
  <c r="F1157" i="6"/>
  <c r="F1159" i="6"/>
  <c r="F1160" i="6"/>
  <c r="F1173" i="6"/>
  <c r="F1175" i="6"/>
  <c r="F1165" i="6" s="1"/>
  <c r="F1176" i="6"/>
  <c r="F1177" i="6"/>
  <c r="F1178" i="6"/>
  <c r="F1180" i="6"/>
  <c r="F1181" i="6"/>
  <c r="F1182" i="6"/>
  <c r="F1183" i="6"/>
  <c r="F1184" i="6"/>
  <c r="F1185" i="6"/>
  <c r="F1188" i="6"/>
  <c r="F1189" i="6"/>
  <c r="F1191" i="6"/>
  <c r="F1202" i="6"/>
  <c r="F1203" i="6"/>
  <c r="F1205" i="6"/>
  <c r="F1204" i="6" s="1"/>
  <c r="F1206" i="6"/>
  <c r="F1207" i="6"/>
  <c r="F1210" i="6"/>
  <c r="F1211" i="6"/>
  <c r="F1214" i="6"/>
  <c r="F1215" i="6"/>
  <c r="F1229" i="6"/>
  <c r="F1230" i="6"/>
  <c r="F1232" i="6"/>
  <c r="F1233" i="6"/>
  <c r="F1234" i="6"/>
  <c r="F1235" i="6"/>
  <c r="F1236" i="6"/>
  <c r="F1237" i="6"/>
  <c r="F1238" i="6"/>
  <c r="F1241" i="6"/>
  <c r="F1219" i="6" s="1"/>
  <c r="F1242" i="6"/>
  <c r="F1243" i="6"/>
  <c r="F1244" i="6"/>
  <c r="F1245" i="6"/>
  <c r="F1246" i="6"/>
  <c r="F1247" i="6"/>
  <c r="F1255" i="6"/>
  <c r="F1263" i="6"/>
  <c r="F1264" i="6"/>
  <c r="F1268" i="6"/>
  <c r="F1267" i="6" s="1"/>
  <c r="F1269" i="6"/>
  <c r="F1270" i="6"/>
  <c r="F1271" i="6"/>
  <c r="F1272" i="6"/>
  <c r="F1273" i="6"/>
  <c r="F1274" i="6"/>
  <c r="F1284" i="6"/>
  <c r="F1285" i="6"/>
  <c r="F1286" i="6"/>
  <c r="F1287" i="6"/>
  <c r="F1289" i="6"/>
  <c r="F1290" i="6"/>
  <c r="F1291" i="6"/>
  <c r="F1292" i="6"/>
  <c r="F1279" i="6" s="1"/>
  <c r="F1302" i="6"/>
  <c r="F1303" i="6"/>
  <c r="F1306" i="6"/>
  <c r="F1307" i="6"/>
  <c r="F1308" i="6"/>
  <c r="F1309" i="6"/>
  <c r="F1311" i="6"/>
  <c r="F1312" i="6"/>
  <c r="F1314" i="6"/>
  <c r="F1323" i="6"/>
  <c r="F1324" i="6"/>
  <c r="F1325" i="6"/>
  <c r="F1331" i="6"/>
  <c r="F1332" i="6"/>
  <c r="F1333" i="6"/>
  <c r="F1335" i="6"/>
  <c r="F1336" i="6"/>
  <c r="F1339" i="6"/>
  <c r="F1344" i="6"/>
  <c r="F1345" i="6"/>
  <c r="F1347" i="6"/>
  <c r="F1346" i="6" s="1"/>
  <c r="F1351" i="6"/>
  <c r="F1355" i="6"/>
  <c r="F1354" i="6" s="1"/>
  <c r="F1357" i="6"/>
  <c r="F1358" i="6"/>
  <c r="F1359" i="6"/>
  <c r="F1360" i="6"/>
  <c r="F1361" i="6"/>
  <c r="F1362" i="6"/>
  <c r="F1363" i="6"/>
  <c r="F1370" i="6"/>
  <c r="F1371" i="6"/>
  <c r="F1372" i="6"/>
  <c r="F1373" i="6"/>
  <c r="F1375" i="6"/>
  <c r="F1376" i="6"/>
  <c r="F1377" i="6"/>
  <c r="F1379" i="6"/>
  <c r="F1380" i="6"/>
  <c r="F1381" i="6"/>
  <c r="F1382" i="6"/>
  <c r="F1383" i="6"/>
  <c r="F1386" i="6"/>
  <c r="F1384" i="6" s="1"/>
  <c r="F1388" i="6"/>
  <c r="F1390" i="6"/>
  <c r="F1389" i="6" s="1"/>
  <c r="F1394" i="6"/>
  <c r="F1164" i="6" s="1"/>
  <c r="E1374" i="6" l="1"/>
  <c r="E1365" i="6" s="1"/>
  <c r="E901" i="6"/>
  <c r="E794" i="6" s="1"/>
  <c r="F1187" i="6"/>
  <c r="E1171" i="6"/>
  <c r="F1201" i="6"/>
  <c r="F1368" i="6"/>
  <c r="F1171" i="6" s="1"/>
  <c r="F901" i="6"/>
  <c r="E1250" i="6"/>
  <c r="E1249" i="6" s="1"/>
  <c r="E1248" i="6" s="1"/>
  <c r="E748" i="6"/>
  <c r="E1343" i="6"/>
  <c r="E1338" i="6" s="1"/>
  <c r="E802" i="6"/>
  <c r="E793" i="6" s="1"/>
  <c r="E1356" i="6"/>
  <c r="F1213" i="6"/>
  <c r="F1212" i="6" s="1"/>
  <c r="E1062" i="6"/>
  <c r="E967" i="6"/>
  <c r="E789" i="6" s="1"/>
  <c r="E300" i="6"/>
  <c r="F1262" i="6"/>
  <c r="F1257" i="6" s="1"/>
  <c r="F1104" i="6"/>
  <c r="F1301" i="6"/>
  <c r="F1296" i="6" s="1"/>
  <c r="F1228" i="6"/>
  <c r="F1227" i="6" s="1"/>
  <c r="E1224" i="6"/>
  <c r="F1062" i="6"/>
  <c r="F1018" i="6"/>
  <c r="E474" i="6"/>
  <c r="E465" i="6" s="1"/>
  <c r="E908" i="6"/>
  <c r="E843" i="6"/>
  <c r="F138" i="6"/>
  <c r="F137" i="6" s="1"/>
  <c r="E1225" i="6"/>
  <c r="E1193" i="6"/>
  <c r="E1187" i="6"/>
  <c r="E1104" i="6"/>
  <c r="E1038" i="6"/>
  <c r="E941" i="6"/>
  <c r="E924" i="6" s="1"/>
  <c r="E673" i="6"/>
  <c r="E672" i="6" s="1"/>
  <c r="E563" i="6"/>
  <c r="F1209" i="6"/>
  <c r="F1208" i="6" s="1"/>
  <c r="E1301" i="6"/>
  <c r="E1295" i="6" s="1"/>
  <c r="E1186" i="6"/>
  <c r="E1169" i="6" s="1"/>
  <c r="E929" i="6"/>
  <c r="E928" i="6" s="1"/>
  <c r="E919" i="6" s="1"/>
  <c r="E849" i="6"/>
  <c r="E739" i="6"/>
  <c r="E729" i="6"/>
  <c r="E597" i="6"/>
  <c r="E451" i="6"/>
  <c r="E411" i="6" s="1"/>
  <c r="F1088" i="6"/>
  <c r="F1071" i="6" s="1"/>
  <c r="E1281" i="6"/>
  <c r="E1209" i="6"/>
  <c r="E1208" i="6" s="1"/>
  <c r="E725" i="6"/>
  <c r="E1018" i="6"/>
  <c r="F941" i="6"/>
  <c r="F924" i="6" s="1"/>
  <c r="F884" i="6"/>
  <c r="F883" i="6" s="1"/>
  <c r="E1221" i="6"/>
  <c r="E1200" i="6"/>
  <c r="E1199" i="6" s="1"/>
  <c r="E1192" i="6" s="1"/>
  <c r="E1158" i="6"/>
  <c r="E1088" i="6"/>
  <c r="E1071" i="6" s="1"/>
  <c r="E888" i="6"/>
  <c r="E887" i="6" s="1"/>
  <c r="E853" i="6"/>
  <c r="E850" i="6" s="1"/>
  <c r="E487" i="6"/>
  <c r="E407" i="6"/>
  <c r="E356" i="6"/>
  <c r="E355" i="6" s="1"/>
  <c r="E337" i="6"/>
  <c r="E1231" i="6"/>
  <c r="E1322" i="6"/>
  <c r="E1315" i="6" s="1"/>
  <c r="E1007" i="6"/>
  <c r="E861" i="6"/>
  <c r="E858" i="6" s="1"/>
  <c r="E639" i="6"/>
  <c r="E638" i="6" s="1"/>
  <c r="E633" i="6" s="1"/>
  <c r="E477" i="6"/>
  <c r="E464" i="6" s="1"/>
  <c r="E249" i="6"/>
  <c r="E200" i="6" s="1"/>
  <c r="E138" i="6"/>
  <c r="E137" i="6" s="1"/>
  <c r="F1252" i="6"/>
  <c r="F1251" i="6" s="1"/>
  <c r="F597" i="6"/>
  <c r="E912" i="6"/>
  <c r="E899" i="6" s="1"/>
  <c r="E603" i="6"/>
  <c r="E978" i="6"/>
  <c r="E1001" i="6"/>
  <c r="E968" i="6"/>
  <c r="E958" i="6"/>
  <c r="E927" i="6"/>
  <c r="E918" i="6" s="1"/>
  <c r="E926" i="6"/>
  <c r="E917" i="6" s="1"/>
  <c r="E952" i="6"/>
  <c r="E1334" i="6"/>
  <c r="E482" i="6"/>
  <c r="E1326" i="6" s="1"/>
  <c r="E1316" i="6" s="1"/>
  <c r="E931" i="6"/>
  <c r="E921" i="6" s="1"/>
  <c r="E1330" i="6"/>
  <c r="E1310" i="6"/>
  <c r="E1305" i="6" s="1"/>
  <c r="E405" i="6"/>
  <c r="E403" i="6" s="1"/>
  <c r="E415" i="6"/>
  <c r="E902" i="6"/>
  <c r="E1262" i="6"/>
  <c r="E1257" i="6" s="1"/>
  <c r="E1252" i="6" s="1"/>
  <c r="E1251" i="6" s="1"/>
  <c r="E871" i="6"/>
  <c r="E1240" i="6"/>
  <c r="E1239" i="6" s="1"/>
  <c r="E1220" i="6"/>
  <c r="E298" i="6"/>
  <c r="E203" i="6" s="1"/>
  <c r="E311" i="6"/>
  <c r="E825" i="6"/>
  <c r="F1334" i="6"/>
  <c r="F1221" i="6"/>
  <c r="F825" i="6"/>
  <c r="F639" i="6"/>
  <c r="F638" i="6" s="1"/>
  <c r="F633" i="6" s="1"/>
  <c r="E747" i="6"/>
  <c r="E746" i="6" s="1"/>
  <c r="E992" i="6"/>
  <c r="E991" i="6" s="1"/>
  <c r="E990" i="6" s="1"/>
  <c r="E1114" i="6"/>
  <c r="E1113" i="6" s="1"/>
  <c r="E1112" i="6" s="1"/>
  <c r="E707" i="6"/>
  <c r="E38" i="6"/>
  <c r="E17" i="6"/>
  <c r="E1378" i="6"/>
  <c r="E1366" i="6" s="1"/>
  <c r="E1183" i="6"/>
  <c r="E214" i="6"/>
  <c r="E91" i="6"/>
  <c r="E568" i="6"/>
  <c r="E547" i="6"/>
  <c r="E461" i="6"/>
  <c r="E460" i="6"/>
  <c r="F295" i="6"/>
  <c r="F876" i="6"/>
  <c r="F875" i="6" s="1"/>
  <c r="F874" i="6" s="1"/>
  <c r="F845" i="6" s="1"/>
  <c r="F1240" i="6"/>
  <c r="F1239" i="6" s="1"/>
  <c r="F968" i="6"/>
  <c r="F963" i="6"/>
  <c r="F962" i="6" s="1"/>
  <c r="F898" i="6"/>
  <c r="F854" i="6"/>
  <c r="F853" i="6" s="1"/>
  <c r="F750" i="6"/>
  <c r="F748" i="6" s="1"/>
  <c r="F725" i="6"/>
  <c r="F673" i="6"/>
  <c r="F672" i="6" s="1"/>
  <c r="F664" i="6"/>
  <c r="F655" i="6" s="1"/>
  <c r="F563" i="6"/>
  <c r="F492" i="6"/>
  <c r="F487" i="6" s="1"/>
  <c r="F482" i="6"/>
  <c r="F467" i="6" s="1"/>
  <c r="F73" i="6"/>
  <c r="F689" i="6" s="1"/>
  <c r="E1367" i="6"/>
  <c r="E945" i="6"/>
  <c r="E942" i="6" s="1"/>
  <c r="E898" i="6"/>
  <c r="E866" i="6"/>
  <c r="E562" i="6"/>
  <c r="E548" i="6"/>
  <c r="E196" i="6" s="1"/>
  <c r="E412" i="6"/>
  <c r="E305" i="6"/>
  <c r="E292" i="6"/>
  <c r="E193" i="6" s="1"/>
  <c r="E210" i="6"/>
  <c r="E208" i="6" s="1"/>
  <c r="E201" i="6"/>
  <c r="E80" i="6"/>
  <c r="E695" i="6" s="1"/>
  <c r="F356" i="6"/>
  <c r="F355" i="6" s="1"/>
  <c r="E911" i="6"/>
  <c r="E810" i="6"/>
  <c r="E459" i="6"/>
  <c r="E379" i="6"/>
  <c r="E295" i="6"/>
  <c r="E294" i="6" s="1"/>
  <c r="F1330" i="6"/>
  <c r="F1310" i="6"/>
  <c r="F1304" i="6" s="1"/>
  <c r="F1250" i="6"/>
  <c r="F1249" i="6" s="1"/>
  <c r="F1222" i="6" s="1"/>
  <c r="F1220" i="6"/>
  <c r="F1224" i="6"/>
  <c r="F1158" i="6"/>
  <c r="F992" i="6"/>
  <c r="F991" i="6" s="1"/>
  <c r="F867" i="6"/>
  <c r="F866" i="6" s="1"/>
  <c r="F861" i="6"/>
  <c r="F858" i="6" s="1"/>
  <c r="F803" i="6"/>
  <c r="F802" i="6" s="1"/>
  <c r="F793" i="6" s="1"/>
  <c r="F729" i="6"/>
  <c r="F233" i="6"/>
  <c r="F214" i="6" s="1"/>
  <c r="E1393" i="6"/>
  <c r="E884" i="6"/>
  <c r="E883" i="6" s="1"/>
  <c r="E876" i="6"/>
  <c r="E875" i="6" s="1"/>
  <c r="E874" i="6" s="1"/>
  <c r="E845" i="6" s="1"/>
  <c r="E844" i="6"/>
  <c r="E664" i="6"/>
  <c r="E655" i="6" s="1"/>
  <c r="E654" i="6" s="1"/>
  <c r="E525" i="6"/>
  <c r="E452" i="6"/>
  <c r="E205" i="6" s="1"/>
  <c r="E440" i="6"/>
  <c r="E257" i="6"/>
  <c r="E242" i="6" s="1"/>
  <c r="F1322" i="6"/>
  <c r="F1315" i="6" s="1"/>
  <c r="F964" i="6"/>
  <c r="F80" i="6"/>
  <c r="F695" i="6" s="1"/>
  <c r="E247" i="6"/>
  <c r="F1038" i="6"/>
  <c r="F1006" i="6"/>
  <c r="F1001" i="6"/>
  <c r="F958" i="6"/>
  <c r="F926" i="6"/>
  <c r="F917" i="6" s="1"/>
  <c r="F927" i="6"/>
  <c r="F918" i="6" s="1"/>
  <c r="F911" i="6"/>
  <c r="F908" i="6"/>
  <c r="F902" i="6"/>
  <c r="F789" i="6"/>
  <c r="F871" i="6"/>
  <c r="F707" i="6"/>
  <c r="F536" i="6"/>
  <c r="F474" i="6"/>
  <c r="F465" i="6" s="1"/>
  <c r="F201" i="6"/>
  <c r="F258" i="6"/>
  <c r="F257" i="6" s="1"/>
  <c r="F242" i="6" s="1"/>
  <c r="F210" i="6"/>
  <c r="F208" i="6" s="1"/>
  <c r="F1356" i="6"/>
  <c r="F1225" i="6"/>
  <c r="F952" i="6"/>
  <c r="F849" i="6"/>
  <c r="F479" i="6"/>
  <c r="F477" i="6" s="1"/>
  <c r="F464" i="6" s="1"/>
  <c r="F459" i="6"/>
  <c r="F407" i="6"/>
  <c r="F23" i="6"/>
  <c r="F22" i="6" s="1"/>
  <c r="F17" i="6" s="1"/>
  <c r="F1281" i="6"/>
  <c r="F912" i="6"/>
  <c r="F899" i="6" s="1"/>
  <c r="F844" i="6"/>
  <c r="F505" i="6"/>
  <c r="F440" i="6"/>
  <c r="F128" i="6"/>
  <c r="F1343" i="6"/>
  <c r="F1338" i="6" s="1"/>
  <c r="F1193" i="6"/>
  <c r="F1114" i="6"/>
  <c r="F1113" i="6" s="1"/>
  <c r="F1112" i="6" s="1"/>
  <c r="F888" i="6"/>
  <c r="F887" i="6" s="1"/>
  <c r="F405" i="6"/>
  <c r="F1169" i="6"/>
  <c r="F1367" i="6"/>
  <c r="F1393" i="6"/>
  <c r="F547" i="6"/>
  <c r="F1200" i="6"/>
  <c r="F1199" i="6" s="1"/>
  <c r="F1192" i="6" s="1"/>
  <c r="F1172" i="6"/>
  <c r="F931" i="6"/>
  <c r="F921" i="6" s="1"/>
  <c r="F810" i="6"/>
  <c r="F806" i="6" s="1"/>
  <c r="F739" i="6"/>
  <c r="F298" i="6"/>
  <c r="F322" i="6"/>
  <c r="F1231" i="6"/>
  <c r="F787" i="6"/>
  <c r="F379" i="6"/>
  <c r="F382" i="6"/>
  <c r="F376" i="6" s="1"/>
  <c r="F38" i="6"/>
  <c r="F300" i="6"/>
  <c r="F91" i="6"/>
  <c r="F929" i="6"/>
  <c r="F928" i="6" s="1"/>
  <c r="F472" i="6"/>
  <c r="F906" i="6"/>
  <c r="F817" i="6"/>
  <c r="F582" i="6"/>
  <c r="F415" i="6"/>
  <c r="F341" i="6"/>
  <c r="F337" i="6" s="1"/>
  <c r="F296" i="6"/>
  <c r="F200" i="6" s="1"/>
  <c r="F248" i="6"/>
  <c r="F942" i="6"/>
  <c r="F404" i="6"/>
  <c r="F1007" i="6"/>
  <c r="F603" i="6"/>
  <c r="F525" i="6"/>
  <c r="F458" i="6"/>
  <c r="F193" i="6" s="1"/>
  <c r="F205" i="6"/>
  <c r="F380" i="6"/>
  <c r="F1254" i="6" s="1"/>
  <c r="F578" i="6"/>
  <c r="F311" i="6"/>
  <c r="F269" i="6"/>
  <c r="F1061" i="6" l="1"/>
  <c r="E204" i="6"/>
  <c r="E1061" i="6"/>
  <c r="E1017" i="6"/>
  <c r="E1016" i="6" s="1"/>
  <c r="E1015" i="6" s="1"/>
  <c r="E1014" i="6" s="1"/>
  <c r="F848" i="6"/>
  <c r="E1222" i="6"/>
  <c r="E706" i="6"/>
  <c r="E797" i="6"/>
  <c r="E966" i="6"/>
  <c r="E965" i="6" s="1"/>
  <c r="E783" i="6"/>
  <c r="F1017" i="6"/>
  <c r="F1016" i="6" s="1"/>
  <c r="F1015" i="6" s="1"/>
  <c r="F1014" i="6" s="1"/>
  <c r="F747" i="6"/>
  <c r="F746" i="6" s="1"/>
  <c r="E1218" i="6"/>
  <c r="E1166" i="6" s="1"/>
  <c r="F919" i="6"/>
  <c r="F1295" i="6"/>
  <c r="E847" i="6"/>
  <c r="E790" i="6" s="1"/>
  <c r="E467" i="6"/>
  <c r="E1296" i="6"/>
  <c r="E1276" i="6" s="1"/>
  <c r="E1275" i="6" s="1"/>
  <c r="F654" i="6"/>
  <c r="F632" i="6" s="1"/>
  <c r="E975" i="6"/>
  <c r="E291" i="6"/>
  <c r="E282" i="6" s="1"/>
  <c r="E1223" i="6"/>
  <c r="E1167" i="6" s="1"/>
  <c r="F706" i="6"/>
  <c r="F1248" i="6"/>
  <c r="F1218" i="6"/>
  <c r="E546" i="6"/>
  <c r="E976" i="6"/>
  <c r="E784" i="6" s="1"/>
  <c r="F247" i="6"/>
  <c r="F794" i="6"/>
  <c r="F843" i="6"/>
  <c r="F783" i="6" s="1"/>
  <c r="E1369" i="6"/>
  <c r="E1364" i="6" s="1"/>
  <c r="F568" i="6"/>
  <c r="F546" i="6" s="1"/>
  <c r="F559" i="6"/>
  <c r="F206" i="6" s="1"/>
  <c r="F203" i="6"/>
  <c r="E895" i="6"/>
  <c r="F1326" i="6"/>
  <c r="F1316" i="6" s="1"/>
  <c r="F1305" i="6"/>
  <c r="F1276" i="6" s="1"/>
  <c r="F1275" i="6" s="1"/>
  <c r="F1223" i="6"/>
  <c r="E469" i="6"/>
  <c r="E457" i="6" s="1"/>
  <c r="E925" i="6"/>
  <c r="E916" i="6" s="1"/>
  <c r="E206" i="6"/>
  <c r="E1329" i="6"/>
  <c r="E1304" i="6"/>
  <c r="E400" i="6"/>
  <c r="F1329" i="6"/>
  <c r="E16" i="6"/>
  <c r="F16" i="6"/>
  <c r="E194" i="6"/>
  <c r="F990" i="6"/>
  <c r="F975" i="6" s="1"/>
  <c r="F976" i="6"/>
  <c r="F784" i="6" s="1"/>
  <c r="F847" i="6"/>
  <c r="F790" i="6" s="1"/>
  <c r="F850" i="6"/>
  <c r="F842" i="6" s="1"/>
  <c r="F832" i="6" s="1"/>
  <c r="E199" i="6"/>
  <c r="F403" i="6"/>
  <c r="F797" i="6"/>
  <c r="F469" i="6"/>
  <c r="F457" i="6" s="1"/>
  <c r="F72" i="6"/>
  <c r="F67" i="6" s="1"/>
  <c r="E377" i="6"/>
  <c r="E198" i="6" s="1"/>
  <c r="E1253" i="6"/>
  <c r="E632" i="6"/>
  <c r="E1172" i="6"/>
  <c r="F400" i="6"/>
  <c r="F294" i="6"/>
  <c r="F791" i="6"/>
  <c r="E842" i="6"/>
  <c r="E832" i="6" s="1"/>
  <c r="E848" i="6"/>
  <c r="E791" i="6" s="1"/>
  <c r="E72" i="6"/>
  <c r="E67" i="6" s="1"/>
  <c r="E1317" i="6"/>
  <c r="E1313" i="6" s="1"/>
  <c r="E806" i="6"/>
  <c r="E788" i="6"/>
  <c r="F895" i="6"/>
  <c r="F291" i="6"/>
  <c r="F282" i="6" s="1"/>
  <c r="F194" i="6"/>
  <c r="F555" i="6"/>
  <c r="F204" i="6" s="1"/>
  <c r="F1374" i="6"/>
  <c r="F1365" i="6" s="1"/>
  <c r="F461" i="6"/>
  <c r="F199" i="6" s="1"/>
  <c r="F460" i="6"/>
  <c r="F377" i="6"/>
  <c r="F1253" i="6"/>
  <c r="F788" i="6"/>
  <c r="F1378" i="6"/>
  <c r="F1366" i="6" s="1"/>
  <c r="F925" i="6"/>
  <c r="F916" i="6" s="1"/>
  <c r="I1115" i="6"/>
  <c r="I1116" i="6"/>
  <c r="I1117" i="6"/>
  <c r="I1118" i="6"/>
  <c r="I1119" i="6"/>
  <c r="I1120" i="6"/>
  <c r="I1121" i="6"/>
  <c r="I1122" i="6"/>
  <c r="I1123" i="6"/>
  <c r="I1124" i="6"/>
  <c r="I1125" i="6"/>
  <c r="E1217" i="6" l="1"/>
  <c r="E1216" i="6" s="1"/>
  <c r="K192" i="6"/>
  <c r="K782" i="6"/>
  <c r="F1217" i="6"/>
  <c r="F1216" i="6" s="1"/>
  <c r="F1166" i="6"/>
  <c r="E1162" i="6"/>
  <c r="M1160" i="6" s="1"/>
  <c r="E192" i="6"/>
  <c r="M781" i="6"/>
  <c r="F1317" i="6"/>
  <c r="F1313" i="6" s="1"/>
  <c r="N782" i="6"/>
  <c r="F1162" i="6"/>
  <c r="E1161" i="6"/>
  <c r="E1401" i="6" s="1"/>
  <c r="E1399" i="6" s="1"/>
  <c r="E782" i="6"/>
  <c r="F192" i="6"/>
  <c r="F198" i="6"/>
  <c r="L192" i="6" s="1"/>
  <c r="F782" i="6"/>
  <c r="E688" i="6"/>
  <c r="E66" i="6"/>
  <c r="E65" i="6" s="1"/>
  <c r="E15" i="6" s="1"/>
  <c r="F688" i="6"/>
  <c r="F66" i="6"/>
  <c r="F65" i="6" s="1"/>
  <c r="F15" i="6" s="1"/>
  <c r="F14" i="6" s="1"/>
  <c r="F1369" i="6"/>
  <c r="F1364" i="6" s="1"/>
  <c r="F1167" i="6"/>
  <c r="F1161" i="6" l="1"/>
  <c r="F1401" i="6" s="1"/>
  <c r="F1399" i="6" s="1"/>
  <c r="E683" i="6"/>
  <c r="E682" i="6" s="1"/>
  <c r="E681" i="6" s="1"/>
  <c r="E631" i="6" s="1"/>
  <c r="F683" i="6"/>
  <c r="F682" i="6" s="1"/>
  <c r="F681" i="6" s="1"/>
  <c r="F631" i="6" s="1"/>
  <c r="N1161" i="6"/>
  <c r="F13" i="6"/>
  <c r="F612" i="6" s="1"/>
  <c r="F610" i="6" s="1"/>
  <c r="E13" i="6"/>
  <c r="E612" i="6" s="1"/>
  <c r="E610" i="6" s="1"/>
  <c r="E14" i="6"/>
  <c r="E630" i="6" l="1"/>
  <c r="E629" i="6"/>
  <c r="E1011" i="6" s="1"/>
  <c r="F630" i="6"/>
  <c r="F629" i="6"/>
  <c r="F1011" i="6" s="1"/>
  <c r="E1013" i="6" l="1"/>
  <c r="F1013" i="6"/>
  <c r="G362" i="6"/>
  <c r="G274" i="6" l="1"/>
  <c r="H274" i="6"/>
  <c r="J274" i="6" l="1"/>
  <c r="J275" i="6"/>
  <c r="G1091" i="6"/>
  <c r="H1091" i="6"/>
  <c r="I115" i="6" l="1"/>
  <c r="G562" i="6" l="1"/>
  <c r="H562" i="6"/>
  <c r="I69" i="6" l="1"/>
  <c r="G1003" i="6"/>
  <c r="H1003" i="6"/>
  <c r="G293" i="6" l="1"/>
  <c r="H293" i="6"/>
  <c r="G292" i="6"/>
  <c r="H292" i="6"/>
  <c r="J293" i="6" l="1"/>
  <c r="H432" i="6"/>
  <c r="J432" i="6" l="1"/>
  <c r="J433" i="6"/>
  <c r="G432" i="6"/>
  <c r="G260" i="6" l="1"/>
  <c r="H260" i="6"/>
  <c r="G248" i="6"/>
  <c r="H248" i="6"/>
  <c r="J261" i="6" l="1"/>
  <c r="J260" i="6"/>
  <c r="H249" i="6"/>
  <c r="J249" i="6" s="1"/>
  <c r="H258" i="6"/>
  <c r="G249" i="6"/>
  <c r="G258" i="6"/>
  <c r="G598" i="6"/>
  <c r="H598" i="6"/>
  <c r="I598" i="6"/>
  <c r="J599" i="6" l="1"/>
  <c r="J259" i="6"/>
  <c r="H1002" i="6"/>
  <c r="G1002" i="6"/>
  <c r="G1129" i="6"/>
  <c r="H1129" i="6"/>
  <c r="H750" i="6" l="1"/>
  <c r="G750" i="6"/>
  <c r="I750" i="6" l="1"/>
  <c r="I159" i="6"/>
  <c r="G380" i="6" l="1"/>
  <c r="G384" i="6"/>
  <c r="H380" i="6"/>
  <c r="G994" i="6" l="1"/>
  <c r="H994" i="6"/>
  <c r="G666" i="6"/>
  <c r="H666" i="6"/>
  <c r="G372" i="6"/>
  <c r="G371" i="6" s="1"/>
  <c r="H372" i="6"/>
  <c r="G569" i="6"/>
  <c r="G547" i="6" s="1"/>
  <c r="H569" i="6"/>
  <c r="H371" i="6" l="1"/>
  <c r="J371" i="6" s="1"/>
  <c r="J372" i="6"/>
  <c r="J373" i="6"/>
  <c r="H547" i="6"/>
  <c r="J570" i="6"/>
  <c r="J667" i="6"/>
  <c r="I85" i="6"/>
  <c r="I21" i="6"/>
  <c r="G755" i="6" l="1"/>
  <c r="H755" i="6"/>
  <c r="J755" i="6" s="1"/>
  <c r="G463" i="6" l="1"/>
  <c r="H463" i="6"/>
  <c r="H514" i="6"/>
  <c r="J514" i="6" l="1"/>
  <c r="J515" i="6"/>
  <c r="G561" i="6"/>
  <c r="H561" i="6"/>
  <c r="J561" i="6" l="1"/>
  <c r="J562" i="6"/>
  <c r="G960" i="6"/>
  <c r="H960" i="6"/>
  <c r="G514" i="6" l="1"/>
  <c r="G492" i="6" l="1"/>
  <c r="G961" i="6" l="1"/>
  <c r="H961" i="6"/>
  <c r="I1129" i="6" l="1"/>
  <c r="I162" i="6"/>
  <c r="G479" i="6"/>
  <c r="G480" i="6"/>
  <c r="G1325" i="6"/>
  <c r="H1127" i="6"/>
  <c r="G1127" i="6"/>
  <c r="H1099" i="6"/>
  <c r="G1099" i="6"/>
  <c r="M174" i="6"/>
  <c r="M175" i="6"/>
  <c r="M176" i="6"/>
  <c r="M177" i="6"/>
  <c r="M178" i="6"/>
  <c r="M179" i="6"/>
  <c r="M180" i="6"/>
  <c r="M181" i="6"/>
  <c r="M183" i="6"/>
  <c r="M185" i="6"/>
  <c r="M186" i="6"/>
  <c r="M187" i="6"/>
  <c r="M188" i="6"/>
  <c r="M189" i="6"/>
  <c r="H957" i="6"/>
  <c r="H485" i="6"/>
  <c r="H538" i="6"/>
  <c r="H225" i="6"/>
  <c r="H229" i="6"/>
  <c r="J230" i="6" l="1"/>
  <c r="J229" i="6"/>
  <c r="J226" i="6"/>
  <c r="J225" i="6"/>
  <c r="J538" i="6"/>
  <c r="J539" i="6"/>
  <c r="J486" i="6"/>
  <c r="H1256" i="6"/>
  <c r="H805" i="6"/>
  <c r="G279" i="6" l="1"/>
  <c r="G277" i="6" s="1"/>
  <c r="H279" i="6"/>
  <c r="G607" i="6"/>
  <c r="H607" i="6"/>
  <c r="I279" i="6" l="1"/>
  <c r="J279" i="6"/>
  <c r="J280" i="6"/>
  <c r="J607" i="6"/>
  <c r="J608" i="6"/>
  <c r="I24" i="6"/>
  <c r="I25" i="6"/>
  <c r="I28" i="6"/>
  <c r="I29" i="6"/>
  <c r="I30" i="6"/>
  <c r="I31" i="6"/>
  <c r="I32" i="6"/>
  <c r="I33" i="6"/>
  <c r="I34" i="6"/>
  <c r="I35" i="6"/>
  <c r="I36" i="6"/>
  <c r="I37" i="6"/>
  <c r="I40" i="6"/>
  <c r="I41" i="6"/>
  <c r="I42" i="6"/>
  <c r="I43" i="6"/>
  <c r="I44" i="6"/>
  <c r="I45" i="6"/>
  <c r="I46" i="6"/>
  <c r="I47" i="6"/>
  <c r="I48" i="6"/>
  <c r="I49" i="6"/>
  <c r="I51" i="6"/>
  <c r="I52" i="6"/>
  <c r="I55" i="6"/>
  <c r="I58" i="6"/>
  <c r="I59" i="6"/>
  <c r="I74" i="6"/>
  <c r="I75" i="6"/>
  <c r="I76" i="6"/>
  <c r="I78" i="6"/>
  <c r="I79" i="6"/>
  <c r="I81" i="6"/>
  <c r="I82" i="6"/>
  <c r="I83" i="6"/>
  <c r="I93" i="6"/>
  <c r="I114" i="6"/>
  <c r="I135" i="6"/>
  <c r="I136" i="6"/>
  <c r="I153" i="6"/>
  <c r="I154" i="6"/>
  <c r="I156" i="6"/>
  <c r="I16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207" i="6"/>
  <c r="I215" i="6"/>
  <c r="I216" i="6"/>
  <c r="I217" i="6"/>
  <c r="I220" i="6"/>
  <c r="I227" i="6"/>
  <c r="I228" i="6"/>
  <c r="I231" i="6"/>
  <c r="I232" i="6"/>
  <c r="I234" i="6"/>
  <c r="I235" i="6"/>
  <c r="I243" i="6"/>
  <c r="I244" i="6"/>
  <c r="I245" i="6"/>
  <c r="I256" i="6"/>
  <c r="I259" i="6"/>
  <c r="I264" i="6"/>
  <c r="I265" i="6"/>
  <c r="I266" i="6"/>
  <c r="I267" i="6"/>
  <c r="I268" i="6"/>
  <c r="I270" i="6"/>
  <c r="I271" i="6"/>
  <c r="I273" i="6"/>
  <c r="I274" i="6"/>
  <c r="I276" i="6"/>
  <c r="I278" i="6"/>
  <c r="I283" i="6"/>
  <c r="I284" i="6"/>
  <c r="I285" i="6"/>
  <c r="I286" i="6"/>
  <c r="I289" i="6"/>
  <c r="I313" i="6"/>
  <c r="I315" i="6"/>
  <c r="I317" i="6"/>
  <c r="I320" i="6"/>
  <c r="I324" i="6"/>
  <c r="I330" i="6"/>
  <c r="I331" i="6"/>
  <c r="I332" i="6"/>
  <c r="I338" i="6"/>
  <c r="I339" i="6"/>
  <c r="I343" i="6"/>
  <c r="I344" i="6"/>
  <c r="I354" i="6"/>
  <c r="I359" i="6"/>
  <c r="I360" i="6"/>
  <c r="I361" i="6"/>
  <c r="I383" i="6"/>
  <c r="I386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16" i="6"/>
  <c r="I417" i="6"/>
  <c r="I418" i="6"/>
  <c r="I419" i="6"/>
  <c r="I420" i="6"/>
  <c r="I421" i="6"/>
  <c r="I424" i="6"/>
  <c r="I425" i="6"/>
  <c r="I431" i="6"/>
  <c r="I433" i="6"/>
  <c r="I434" i="6"/>
  <c r="I435" i="6"/>
  <c r="I436" i="6"/>
  <c r="I439" i="6"/>
  <c r="I441" i="6"/>
  <c r="I443" i="6"/>
  <c r="I445" i="6"/>
  <c r="I449" i="6"/>
  <c r="I453" i="6"/>
  <c r="I454" i="6"/>
  <c r="I455" i="6"/>
  <c r="I489" i="6"/>
  <c r="I494" i="6"/>
  <c r="I495" i="6"/>
  <c r="I497" i="6"/>
  <c r="I499" i="6"/>
  <c r="I502" i="6"/>
  <c r="I506" i="6"/>
  <c r="I507" i="6"/>
  <c r="I508" i="6"/>
  <c r="I509" i="6"/>
  <c r="I512" i="6"/>
  <c r="I515" i="6"/>
  <c r="I520" i="6"/>
  <c r="I522" i="6"/>
  <c r="I523" i="6"/>
  <c r="I527" i="6"/>
  <c r="I528" i="6"/>
  <c r="I529" i="6"/>
  <c r="I530" i="6"/>
  <c r="I531" i="6"/>
  <c r="I532" i="6"/>
  <c r="I533" i="6"/>
  <c r="I534" i="6"/>
  <c r="I535" i="6"/>
  <c r="I539" i="6"/>
  <c r="I541" i="6"/>
  <c r="I544" i="6"/>
  <c r="I545" i="6"/>
  <c r="I572" i="6"/>
  <c r="I573" i="6"/>
  <c r="I574" i="6"/>
  <c r="I575" i="6"/>
  <c r="I576" i="6"/>
  <c r="I580" i="6"/>
  <c r="I581" i="6"/>
  <c r="I584" i="6"/>
  <c r="I585" i="6"/>
  <c r="I605" i="6"/>
  <c r="I608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66" i="6"/>
  <c r="I667" i="6"/>
  <c r="I668" i="6"/>
  <c r="I676" i="6"/>
  <c r="I677" i="6"/>
  <c r="I679" i="6"/>
  <c r="I680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92" i="6"/>
  <c r="I795" i="6"/>
  <c r="I796" i="6"/>
  <c r="I814" i="6"/>
  <c r="I815" i="6"/>
  <c r="I816" i="6"/>
  <c r="I820" i="6"/>
  <c r="I821" i="6"/>
  <c r="I833" i="6"/>
  <c r="I834" i="6"/>
  <c r="I835" i="6"/>
  <c r="I836" i="6"/>
  <c r="I838" i="6"/>
  <c r="I900" i="6"/>
  <c r="I920" i="6"/>
  <c r="I922" i="6"/>
  <c r="I935" i="6"/>
  <c r="I936" i="6"/>
  <c r="I937" i="6"/>
  <c r="I938" i="6"/>
  <c r="I939" i="6"/>
  <c r="I940" i="6"/>
  <c r="I979" i="6"/>
  <c r="I980" i="6"/>
  <c r="I981" i="6"/>
  <c r="I982" i="6"/>
  <c r="I983" i="6"/>
  <c r="I984" i="6"/>
  <c r="I985" i="6"/>
  <c r="I986" i="6"/>
  <c r="I987" i="6"/>
  <c r="I1009" i="6"/>
  <c r="I1111" i="6"/>
  <c r="I1131" i="6"/>
  <c r="I1132" i="6"/>
  <c r="I1133" i="6"/>
  <c r="I1134" i="6"/>
  <c r="I1135" i="6"/>
  <c r="I1136" i="6"/>
  <c r="I1137" i="6"/>
  <c r="I1138" i="6"/>
  <c r="I1163" i="6"/>
  <c r="I1258" i="6"/>
  <c r="I1259" i="6"/>
  <c r="I1260" i="6"/>
  <c r="I1261" i="6"/>
  <c r="I1265" i="6"/>
  <c r="I1293" i="6"/>
  <c r="I1294" i="6"/>
  <c r="I1297" i="6"/>
  <c r="I1298" i="6"/>
  <c r="I1299" i="6"/>
  <c r="I1300" i="6"/>
  <c r="I1318" i="6"/>
  <c r="I1319" i="6"/>
  <c r="I1320" i="6"/>
  <c r="I1321" i="6"/>
  <c r="I1395" i="6"/>
  <c r="I1396" i="6"/>
  <c r="I1397" i="6"/>
  <c r="I1398" i="6"/>
  <c r="G578" i="6" l="1"/>
  <c r="G225" i="6" l="1"/>
  <c r="I225" i="6" l="1"/>
  <c r="G1008" i="6" l="1"/>
  <c r="H1008" i="6"/>
  <c r="H1006" i="6" s="1"/>
  <c r="I1008" i="6" l="1"/>
  <c r="G318" i="6"/>
  <c r="H318" i="6"/>
  <c r="G357" i="6"/>
  <c r="H357" i="6"/>
  <c r="J318" i="6" l="1"/>
  <c r="J319" i="6"/>
  <c r="J358" i="6"/>
  <c r="I318" i="6"/>
  <c r="I357" i="6"/>
  <c r="G1394" i="6"/>
  <c r="H1394" i="6"/>
  <c r="G1390" i="6"/>
  <c r="G1389" i="6" s="1"/>
  <c r="H1390" i="6"/>
  <c r="G1388" i="6"/>
  <c r="H1388" i="6"/>
  <c r="G1386" i="6"/>
  <c r="G1384" i="6" s="1"/>
  <c r="H1386" i="6"/>
  <c r="G1383" i="6"/>
  <c r="H1383" i="6"/>
  <c r="G1382" i="6"/>
  <c r="H1382" i="6"/>
  <c r="G1381" i="6"/>
  <c r="H1381" i="6"/>
  <c r="G1380" i="6"/>
  <c r="H1380" i="6"/>
  <c r="G1379" i="6"/>
  <c r="H1379" i="6"/>
  <c r="G1377" i="6"/>
  <c r="H1377" i="6"/>
  <c r="G1376" i="6"/>
  <c r="H1376" i="6"/>
  <c r="G1375" i="6"/>
  <c r="H1375" i="6"/>
  <c r="G1373" i="6"/>
  <c r="H1373" i="6"/>
  <c r="G1372" i="6"/>
  <c r="H1372" i="6"/>
  <c r="G1371" i="6"/>
  <c r="H1371" i="6"/>
  <c r="G1370" i="6"/>
  <c r="H1370" i="6"/>
  <c r="G1363" i="6"/>
  <c r="H1363" i="6"/>
  <c r="G1362" i="6"/>
  <c r="H1362" i="6"/>
  <c r="G1361" i="6"/>
  <c r="H1361" i="6"/>
  <c r="G1360" i="6"/>
  <c r="H1360" i="6"/>
  <c r="G1359" i="6"/>
  <c r="H1359" i="6"/>
  <c r="G1358" i="6"/>
  <c r="H1358" i="6"/>
  <c r="G1357" i="6"/>
  <c r="H1357" i="6"/>
  <c r="H1356" i="6" s="1"/>
  <c r="G1355" i="6"/>
  <c r="G1354" i="6" s="1"/>
  <c r="H1355" i="6"/>
  <c r="H1354" i="6" s="1"/>
  <c r="G1351" i="6"/>
  <c r="H1351" i="6"/>
  <c r="G1347" i="6"/>
  <c r="G1346" i="6" s="1"/>
  <c r="H1347" i="6"/>
  <c r="H1346" i="6" s="1"/>
  <c r="G1345" i="6"/>
  <c r="H1345" i="6"/>
  <c r="G1344" i="6"/>
  <c r="H1344" i="6"/>
  <c r="G1339" i="6"/>
  <c r="H1339" i="6"/>
  <c r="G1336" i="6"/>
  <c r="H1336" i="6"/>
  <c r="G1335" i="6"/>
  <c r="H1335" i="6"/>
  <c r="G1333" i="6"/>
  <c r="H1333" i="6"/>
  <c r="G1332" i="6"/>
  <c r="H1332" i="6"/>
  <c r="G1331" i="6"/>
  <c r="H1331" i="6"/>
  <c r="H1325" i="6"/>
  <c r="G1324" i="6"/>
  <c r="H1324" i="6"/>
  <c r="G1323" i="6"/>
  <c r="H1323" i="6"/>
  <c r="G1314" i="6"/>
  <c r="H1314" i="6"/>
  <c r="G1312" i="6"/>
  <c r="H1312" i="6"/>
  <c r="G1311" i="6"/>
  <c r="H1311" i="6"/>
  <c r="G1309" i="6"/>
  <c r="H1309" i="6"/>
  <c r="G1308" i="6"/>
  <c r="H1308" i="6"/>
  <c r="G1307" i="6"/>
  <c r="H1307" i="6"/>
  <c r="G1306" i="6"/>
  <c r="H1306" i="6"/>
  <c r="G1303" i="6"/>
  <c r="H1303" i="6"/>
  <c r="G1302" i="6"/>
  <c r="H1302" i="6"/>
  <c r="G1291" i="6"/>
  <c r="H1291" i="6"/>
  <c r="G1290" i="6"/>
  <c r="H1290" i="6"/>
  <c r="G1289" i="6"/>
  <c r="H1289" i="6"/>
  <c r="G1287" i="6"/>
  <c r="H1287" i="6"/>
  <c r="G1286" i="6"/>
  <c r="H1286" i="6"/>
  <c r="G1285" i="6"/>
  <c r="H1285" i="6"/>
  <c r="G1284" i="6"/>
  <c r="H1284" i="6"/>
  <c r="G1274" i="6"/>
  <c r="H1274" i="6"/>
  <c r="G1273" i="6"/>
  <c r="H1273" i="6"/>
  <c r="G1272" i="6"/>
  <c r="H1272" i="6"/>
  <c r="G1271" i="6"/>
  <c r="H1271" i="6"/>
  <c r="G1270" i="6"/>
  <c r="H1270" i="6"/>
  <c r="G1269" i="6"/>
  <c r="H1269" i="6"/>
  <c r="G1268" i="6"/>
  <c r="G1267" i="6" s="1"/>
  <c r="H1268" i="6"/>
  <c r="G1264" i="6"/>
  <c r="H1264" i="6"/>
  <c r="G1263" i="6"/>
  <c r="H1263" i="6"/>
  <c r="G1247" i="6"/>
  <c r="H1247" i="6"/>
  <c r="G1246" i="6"/>
  <c r="H1246" i="6"/>
  <c r="G1245" i="6"/>
  <c r="H1245" i="6"/>
  <c r="G1244" i="6"/>
  <c r="H1244" i="6"/>
  <c r="G1243" i="6"/>
  <c r="H1243" i="6"/>
  <c r="G1242" i="6"/>
  <c r="H1242" i="6"/>
  <c r="G1241" i="6"/>
  <c r="G1219" i="6" s="1"/>
  <c r="H1241" i="6"/>
  <c r="G1238" i="6"/>
  <c r="H1238" i="6"/>
  <c r="G1237" i="6"/>
  <c r="H1237" i="6"/>
  <c r="G1236" i="6"/>
  <c r="H1236" i="6"/>
  <c r="G1235" i="6"/>
  <c r="H1235" i="6"/>
  <c r="G1234" i="6"/>
  <c r="H1234" i="6"/>
  <c r="G1233" i="6"/>
  <c r="H1233" i="6"/>
  <c r="G1232" i="6"/>
  <c r="G1231" i="6" s="1"/>
  <c r="H1232" i="6"/>
  <c r="G1230" i="6"/>
  <c r="H1230" i="6"/>
  <c r="G1229" i="6"/>
  <c r="H1229" i="6"/>
  <c r="G1228" i="6"/>
  <c r="G1227" i="6" s="1"/>
  <c r="H1228" i="6"/>
  <c r="G1215" i="6"/>
  <c r="H1215" i="6"/>
  <c r="G1214" i="6"/>
  <c r="H1214" i="6"/>
  <c r="G1213" i="6"/>
  <c r="G1212" i="6" s="1"/>
  <c r="H1213" i="6"/>
  <c r="H1212" i="6" s="1"/>
  <c r="G1211" i="6"/>
  <c r="H1211" i="6"/>
  <c r="G1210" i="6"/>
  <c r="H1210" i="6"/>
  <c r="G1209" i="6"/>
  <c r="G1208" i="6" s="1"/>
  <c r="H1209" i="6"/>
  <c r="H1208" i="6" s="1"/>
  <c r="G1207" i="6"/>
  <c r="H1207" i="6"/>
  <c r="G1206" i="6"/>
  <c r="H1206" i="6"/>
  <c r="G1205" i="6"/>
  <c r="G1204" i="6" s="1"/>
  <c r="H1205" i="6"/>
  <c r="H1204" i="6" s="1"/>
  <c r="G1203" i="6"/>
  <c r="H1203" i="6"/>
  <c r="G1202" i="6"/>
  <c r="H1202" i="6"/>
  <c r="G1201" i="6"/>
  <c r="G1200" i="6" s="1"/>
  <c r="G1199" i="6" s="1"/>
  <c r="H1201" i="6"/>
  <c r="H1200" i="6" s="1"/>
  <c r="H1199" i="6" s="1"/>
  <c r="G1191" i="6"/>
  <c r="H1191" i="6"/>
  <c r="G1189" i="6"/>
  <c r="H1189" i="6"/>
  <c r="G1188" i="6"/>
  <c r="H1188" i="6"/>
  <c r="G1185" i="6"/>
  <c r="H1185" i="6"/>
  <c r="G1184" i="6"/>
  <c r="H1184" i="6"/>
  <c r="G1182" i="6"/>
  <c r="H1182" i="6"/>
  <c r="G1181" i="6"/>
  <c r="H1181" i="6"/>
  <c r="G1180" i="6"/>
  <c r="H1180" i="6"/>
  <c r="G1178" i="6"/>
  <c r="H1178" i="6"/>
  <c r="G1177" i="6"/>
  <c r="H1177" i="6"/>
  <c r="G1176" i="6"/>
  <c r="H1176" i="6"/>
  <c r="G1175" i="6"/>
  <c r="G1165" i="6" s="1"/>
  <c r="H1175" i="6"/>
  <c r="G1173" i="6"/>
  <c r="H1173" i="6"/>
  <c r="G1160" i="6"/>
  <c r="H1160" i="6"/>
  <c r="G1159" i="6"/>
  <c r="H1159" i="6"/>
  <c r="G1157" i="6"/>
  <c r="H1157" i="6"/>
  <c r="G1140" i="6"/>
  <c r="H1140" i="6"/>
  <c r="G1139" i="6"/>
  <c r="H1139" i="6"/>
  <c r="G1130" i="6"/>
  <c r="H1130" i="6"/>
  <c r="G1128" i="6"/>
  <c r="H1128" i="6"/>
  <c r="G1126" i="6"/>
  <c r="H1126" i="6"/>
  <c r="G1110" i="6"/>
  <c r="H1110" i="6"/>
  <c r="G1109" i="6"/>
  <c r="G1105" i="6" s="1"/>
  <c r="H1109" i="6"/>
  <c r="H1105" i="6" s="1"/>
  <c r="H1098" i="6"/>
  <c r="H1097" i="6" s="1"/>
  <c r="G1098" i="6"/>
  <c r="G1097" i="6" s="1"/>
  <c r="G1095" i="6"/>
  <c r="G1093" i="6" s="1"/>
  <c r="H1095" i="6"/>
  <c r="H1093" i="6" s="1"/>
  <c r="G1090" i="6"/>
  <c r="G1088" i="6" s="1"/>
  <c r="H1090" i="6"/>
  <c r="H1088" i="6" s="1"/>
  <c r="G1072" i="6"/>
  <c r="H1072" i="6"/>
  <c r="G1069" i="6"/>
  <c r="H1069" i="6"/>
  <c r="G1063" i="6"/>
  <c r="H1063" i="6"/>
  <c r="G1054" i="6"/>
  <c r="H1054" i="6"/>
  <c r="G1039" i="6"/>
  <c r="H1039" i="6"/>
  <c r="G1027" i="6"/>
  <c r="G1026" i="6" s="1"/>
  <c r="H1027" i="6"/>
  <c r="H1026" i="6" s="1"/>
  <c r="G1023" i="6"/>
  <c r="G1022" i="6" s="1"/>
  <c r="G1021" i="6" s="1"/>
  <c r="G1020" i="6" s="1"/>
  <c r="G1019" i="6" s="1"/>
  <c r="H1023" i="6"/>
  <c r="H1022" i="6" s="1"/>
  <c r="G1007" i="6"/>
  <c r="H1007" i="6"/>
  <c r="G1006" i="6"/>
  <c r="G1005" i="6"/>
  <c r="G1004" i="6" s="1"/>
  <c r="G1001" i="6" s="1"/>
  <c r="H1005" i="6"/>
  <c r="G1000" i="6"/>
  <c r="G989" i="6" s="1"/>
  <c r="G995" i="6"/>
  <c r="G988" i="6" s="1"/>
  <c r="H995" i="6"/>
  <c r="H988" i="6" s="1"/>
  <c r="G993" i="6"/>
  <c r="H993" i="6"/>
  <c r="G992" i="6"/>
  <c r="H992" i="6"/>
  <c r="G978" i="6"/>
  <c r="H978" i="6"/>
  <c r="G974" i="6"/>
  <c r="G973" i="6" s="1"/>
  <c r="G972" i="6" s="1"/>
  <c r="H974" i="6"/>
  <c r="H973" i="6" s="1"/>
  <c r="G971" i="6"/>
  <c r="G970" i="6" s="1"/>
  <c r="H971" i="6"/>
  <c r="G969" i="6"/>
  <c r="H969" i="6"/>
  <c r="G964" i="6"/>
  <c r="H964" i="6"/>
  <c r="G963" i="6"/>
  <c r="H963" i="6"/>
  <c r="G959" i="6"/>
  <c r="G958" i="6" s="1"/>
  <c r="H959" i="6"/>
  <c r="H958" i="6" s="1"/>
  <c r="G956" i="6"/>
  <c r="H956" i="6"/>
  <c r="G955" i="6"/>
  <c r="H955" i="6"/>
  <c r="G954" i="6"/>
  <c r="H954" i="6"/>
  <c r="G953" i="6"/>
  <c r="H953" i="6"/>
  <c r="G951" i="6"/>
  <c r="H951" i="6"/>
  <c r="G950" i="6"/>
  <c r="H950" i="6"/>
  <c r="G949" i="6"/>
  <c r="G933" i="6" s="1"/>
  <c r="H949" i="6"/>
  <c r="H933" i="6" s="1"/>
  <c r="I933" i="6" s="1"/>
  <c r="G948" i="6"/>
  <c r="G932" i="6" s="1"/>
  <c r="H948" i="6"/>
  <c r="G946" i="6"/>
  <c r="H946" i="6"/>
  <c r="G944" i="6"/>
  <c r="H944" i="6"/>
  <c r="G943" i="6"/>
  <c r="H1231" i="6" l="1"/>
  <c r="G1356" i="6"/>
  <c r="H1384" i="6"/>
  <c r="H1389" i="6"/>
  <c r="I1389" i="6" s="1"/>
  <c r="H1114" i="6"/>
  <c r="G1114" i="6"/>
  <c r="G1113" i="6" s="1"/>
  <c r="G1112" i="6" s="1"/>
  <c r="H1104" i="6"/>
  <c r="G1038" i="6"/>
  <c r="G962" i="6"/>
  <c r="H952" i="6"/>
  <c r="H1038" i="6"/>
  <c r="H1062" i="6"/>
  <c r="H1334" i="6"/>
  <c r="G1104" i="6"/>
  <c r="H1158" i="6"/>
  <c r="G1193" i="6"/>
  <c r="H1071" i="6"/>
  <c r="H1393" i="6"/>
  <c r="H1164" i="6"/>
  <c r="G1158" i="6"/>
  <c r="G1393" i="6"/>
  <c r="G1164" i="6"/>
  <c r="I971" i="6"/>
  <c r="G1062" i="6"/>
  <c r="I1130" i="6"/>
  <c r="G1192" i="6"/>
  <c r="H1193" i="6"/>
  <c r="H932" i="6"/>
  <c r="G931" i="6"/>
  <c r="G921" i="6" s="1"/>
  <c r="I1128" i="6"/>
  <c r="G1262" i="6"/>
  <c r="G1257" i="6" s="1"/>
  <c r="G1252" i="6" s="1"/>
  <c r="G1251" i="6" s="1"/>
  <c r="H1192" i="6"/>
  <c r="H972" i="6"/>
  <c r="G1018" i="6"/>
  <c r="H1021" i="6"/>
  <c r="H1165" i="6"/>
  <c r="H1267" i="6"/>
  <c r="I1381" i="6"/>
  <c r="G1330" i="6"/>
  <c r="I1345" i="6"/>
  <c r="I1380" i="6"/>
  <c r="I1376" i="6"/>
  <c r="I1377" i="6"/>
  <c r="H1004" i="6"/>
  <c r="H970" i="6"/>
  <c r="H968" i="6" s="1"/>
  <c r="H962" i="6"/>
  <c r="I964" i="6"/>
  <c r="G1334" i="6"/>
  <c r="H1330" i="6"/>
  <c r="G1310" i="6"/>
  <c r="G1305" i="6" s="1"/>
  <c r="H1221" i="6"/>
  <c r="I1394" i="6"/>
  <c r="I963" i="6"/>
  <c r="I959" i="6"/>
  <c r="I950" i="6"/>
  <c r="I948" i="6"/>
  <c r="I1325" i="6"/>
  <c r="I1333" i="6"/>
  <c r="I1324" i="6"/>
  <c r="I1332" i="6"/>
  <c r="I944" i="6"/>
  <c r="I1312" i="6"/>
  <c r="I1303" i="6"/>
  <c r="I1291" i="6"/>
  <c r="I1290" i="6"/>
  <c r="I1264" i="6"/>
  <c r="I1159" i="6"/>
  <c r="I1160" i="6"/>
  <c r="I953" i="6"/>
  <c r="I954" i="6"/>
  <c r="I955" i="6"/>
  <c r="I956" i="6"/>
  <c r="I1006" i="6"/>
  <c r="I1007" i="6"/>
  <c r="H1310" i="6"/>
  <c r="H1305" i="6" s="1"/>
  <c r="H1322" i="6"/>
  <c r="I978" i="6"/>
  <c r="I992" i="6"/>
  <c r="I993" i="6"/>
  <c r="I1213" i="6"/>
  <c r="I1215" i="6"/>
  <c r="H1227" i="6"/>
  <c r="I1227" i="6" s="1"/>
  <c r="I1228" i="6"/>
  <c r="I1230" i="6"/>
  <c r="H1240" i="6"/>
  <c r="I1242" i="6"/>
  <c r="I1243" i="6"/>
  <c r="H1343" i="6"/>
  <c r="H1338" i="6" s="1"/>
  <c r="I1181" i="6"/>
  <c r="I1182" i="6"/>
  <c r="I1185" i="6"/>
  <c r="I1209" i="6"/>
  <c r="I1211" i="6"/>
  <c r="H1225" i="6"/>
  <c r="I1336" i="6"/>
  <c r="G977" i="6"/>
  <c r="G786" i="6" s="1"/>
  <c r="G991" i="6"/>
  <c r="G976" i="6" s="1"/>
  <c r="H991" i="6"/>
  <c r="H1220" i="6"/>
  <c r="G1343" i="6"/>
  <c r="G1338" i="6" s="1"/>
  <c r="H927" i="6"/>
  <c r="G927" i="6"/>
  <c r="G918" i="6" s="1"/>
  <c r="G926" i="6"/>
  <c r="G917" i="6" s="1"/>
  <c r="G952" i="6"/>
  <c r="H1262" i="6"/>
  <c r="G968" i="6"/>
  <c r="G1071" i="6"/>
  <c r="H1219" i="6"/>
  <c r="H1224" i="6"/>
  <c r="G1322" i="6"/>
  <c r="G1315" i="6" s="1"/>
  <c r="G1240" i="6"/>
  <c r="G1239" i="6" s="1"/>
  <c r="G1224" i="6"/>
  <c r="G1225" i="6"/>
  <c r="G1367" i="6"/>
  <c r="G1221" i="6"/>
  <c r="G1220" i="6"/>
  <c r="G915" i="6"/>
  <c r="H915" i="6"/>
  <c r="G914" i="6"/>
  <c r="H914" i="6"/>
  <c r="G913" i="6"/>
  <c r="H913" i="6"/>
  <c r="G910" i="6"/>
  <c r="H910" i="6"/>
  <c r="G909" i="6"/>
  <c r="H909" i="6"/>
  <c r="G907" i="6"/>
  <c r="G906" i="6" s="1"/>
  <c r="H907" i="6"/>
  <c r="G904" i="6"/>
  <c r="G897" i="6" s="1"/>
  <c r="H904" i="6"/>
  <c r="H897" i="6" s="1"/>
  <c r="G903" i="6"/>
  <c r="H903" i="6"/>
  <c r="G894" i="6"/>
  <c r="H894" i="6"/>
  <c r="G893" i="6"/>
  <c r="H893" i="6"/>
  <c r="G892" i="6"/>
  <c r="H892" i="6"/>
  <c r="G891" i="6"/>
  <c r="H891" i="6"/>
  <c r="G890" i="6"/>
  <c r="H890" i="6"/>
  <c r="G889" i="6"/>
  <c r="H889" i="6"/>
  <c r="G886" i="6"/>
  <c r="G846" i="6" s="1"/>
  <c r="H886" i="6"/>
  <c r="G885" i="6"/>
  <c r="H885" i="6"/>
  <c r="G882" i="6"/>
  <c r="H882" i="6"/>
  <c r="I882" i="6" s="1"/>
  <c r="G881" i="6"/>
  <c r="H881" i="6"/>
  <c r="I881" i="6" s="1"/>
  <c r="G880" i="6"/>
  <c r="H880" i="6"/>
  <c r="I880" i="6" s="1"/>
  <c r="G879" i="6"/>
  <c r="H879" i="6"/>
  <c r="I879" i="6" s="1"/>
  <c r="G878" i="6"/>
  <c r="H878" i="6"/>
  <c r="I878" i="6" s="1"/>
  <c r="G877" i="6"/>
  <c r="H877" i="6"/>
  <c r="I877" i="6" s="1"/>
  <c r="G876" i="6"/>
  <c r="G875" i="6" s="1"/>
  <c r="G874" i="6" s="1"/>
  <c r="H876" i="6"/>
  <c r="G873" i="6"/>
  <c r="H873" i="6"/>
  <c r="G872" i="6"/>
  <c r="H872" i="6"/>
  <c r="G870" i="6"/>
  <c r="H870" i="6"/>
  <c r="G869" i="6"/>
  <c r="H869" i="6"/>
  <c r="G868" i="6"/>
  <c r="H868" i="6"/>
  <c r="G867" i="6"/>
  <c r="H867" i="6"/>
  <c r="G865" i="6"/>
  <c r="H865" i="6"/>
  <c r="G864" i="6"/>
  <c r="H864" i="6"/>
  <c r="G863" i="6"/>
  <c r="H863" i="6"/>
  <c r="G862" i="6"/>
  <c r="H862" i="6"/>
  <c r="G860" i="6"/>
  <c r="H860" i="6"/>
  <c r="G859" i="6"/>
  <c r="H859" i="6"/>
  <c r="G856" i="6"/>
  <c r="H856" i="6"/>
  <c r="G857" i="6"/>
  <c r="H857" i="6"/>
  <c r="G855" i="6"/>
  <c r="H855" i="6"/>
  <c r="G854" i="6"/>
  <c r="H854" i="6"/>
  <c r="G852" i="6"/>
  <c r="H852" i="6"/>
  <c r="G851" i="6"/>
  <c r="H851" i="6"/>
  <c r="H843" i="6" s="1"/>
  <c r="G841" i="6"/>
  <c r="H841" i="6"/>
  <c r="G840" i="6"/>
  <c r="H840" i="6"/>
  <c r="G839" i="6"/>
  <c r="H839" i="6"/>
  <c r="G831" i="6"/>
  <c r="G830" i="6" s="1"/>
  <c r="H831" i="6"/>
  <c r="G829" i="6"/>
  <c r="G828" i="6" s="1"/>
  <c r="H829" i="6"/>
  <c r="G827" i="6"/>
  <c r="G785" i="6" s="1"/>
  <c r="H827" i="6"/>
  <c r="G826" i="6"/>
  <c r="H826" i="6"/>
  <c r="G824" i="6"/>
  <c r="G823" i="6" s="1"/>
  <c r="G822" i="6" s="1"/>
  <c r="H824" i="6"/>
  <c r="H823" i="6" s="1"/>
  <c r="G819" i="6"/>
  <c r="H819" i="6"/>
  <c r="G818" i="6"/>
  <c r="H818" i="6"/>
  <c r="G813" i="6"/>
  <c r="G812" i="6" s="1"/>
  <c r="G809" i="6" s="1"/>
  <c r="G787" i="6" s="1"/>
  <c r="H813" i="6"/>
  <c r="G804" i="6"/>
  <c r="H804" i="6"/>
  <c r="G803" i="6"/>
  <c r="H803" i="6"/>
  <c r="G801" i="6"/>
  <c r="H801" i="6"/>
  <c r="G799" i="6"/>
  <c r="H799" i="6"/>
  <c r="G798" i="6"/>
  <c r="H798" i="6"/>
  <c r="G756" i="6"/>
  <c r="H756" i="6"/>
  <c r="G753" i="6"/>
  <c r="H753" i="6"/>
  <c r="G752" i="6"/>
  <c r="H752" i="6"/>
  <c r="G751" i="6"/>
  <c r="H751" i="6"/>
  <c r="J751" i="6" s="1"/>
  <c r="G749" i="6"/>
  <c r="H749" i="6"/>
  <c r="G745" i="6"/>
  <c r="G744" i="6" s="1"/>
  <c r="H745" i="6"/>
  <c r="G740" i="6"/>
  <c r="H740" i="6"/>
  <c r="G734" i="6"/>
  <c r="G733" i="6" s="1"/>
  <c r="H734" i="6"/>
  <c r="G731" i="6"/>
  <c r="H731" i="6"/>
  <c r="G730" i="6"/>
  <c r="H730" i="6"/>
  <c r="G728" i="6"/>
  <c r="H728" i="6"/>
  <c r="G727" i="6"/>
  <c r="H727" i="6"/>
  <c r="J727" i="6" s="1"/>
  <c r="G724" i="6"/>
  <c r="G720" i="6" s="1"/>
  <c r="H724" i="6"/>
  <c r="J724" i="6" s="1"/>
  <c r="G715" i="6"/>
  <c r="H715" i="6"/>
  <c r="G714" i="6"/>
  <c r="H714" i="6"/>
  <c r="J714" i="6" s="1"/>
  <c r="G711" i="6"/>
  <c r="H711" i="6"/>
  <c r="G705" i="6"/>
  <c r="G704" i="6" s="1"/>
  <c r="H705" i="6"/>
  <c r="G702" i="6"/>
  <c r="H702" i="6"/>
  <c r="G701" i="6"/>
  <c r="H701" i="6"/>
  <c r="G700" i="6"/>
  <c r="H700" i="6"/>
  <c r="G698" i="6"/>
  <c r="H698" i="6"/>
  <c r="G697" i="6"/>
  <c r="H697" i="6"/>
  <c r="J697" i="6" s="1"/>
  <c r="G696" i="6"/>
  <c r="H696" i="6"/>
  <c r="G694" i="6"/>
  <c r="H694" i="6"/>
  <c r="G693" i="6"/>
  <c r="H693" i="6"/>
  <c r="G692" i="6"/>
  <c r="H692" i="6"/>
  <c r="J692" i="6" s="1"/>
  <c r="G691" i="6"/>
  <c r="H691" i="6"/>
  <c r="G690" i="6"/>
  <c r="H690" i="6"/>
  <c r="G685" i="6"/>
  <c r="G684" i="6" s="1"/>
  <c r="H685" i="6"/>
  <c r="G675" i="6"/>
  <c r="H675" i="6"/>
  <c r="G674" i="6"/>
  <c r="H674" i="6"/>
  <c r="G671" i="6"/>
  <c r="H671" i="6"/>
  <c r="J671" i="6" s="1"/>
  <c r="G665" i="6"/>
  <c r="H665" i="6"/>
  <c r="G664" i="6"/>
  <c r="H664" i="6"/>
  <c r="J664" i="6" s="1"/>
  <c r="G662" i="6"/>
  <c r="H662" i="6"/>
  <c r="G661" i="6"/>
  <c r="H661" i="6"/>
  <c r="G660" i="6"/>
  <c r="H660" i="6"/>
  <c r="G659" i="6"/>
  <c r="H659" i="6"/>
  <c r="J659" i="6" s="1"/>
  <c r="G658" i="6"/>
  <c r="H658" i="6"/>
  <c r="G657" i="6"/>
  <c r="H657" i="6"/>
  <c r="G656" i="6"/>
  <c r="H656" i="6"/>
  <c r="G644" i="6"/>
  <c r="G643" i="6" s="1"/>
  <c r="G642" i="6" s="1"/>
  <c r="H644" i="6"/>
  <c r="G641" i="6"/>
  <c r="H641" i="6"/>
  <c r="G640" i="6"/>
  <c r="H640" i="6"/>
  <c r="G637" i="6"/>
  <c r="G636" i="6" s="1"/>
  <c r="G635" i="6" s="1"/>
  <c r="G634" i="6" s="1"/>
  <c r="H637" i="6"/>
  <c r="G604" i="6"/>
  <c r="G603" i="6" s="1"/>
  <c r="H604" i="6"/>
  <c r="G600" i="6"/>
  <c r="G597" i="6" s="1"/>
  <c r="H600" i="6"/>
  <c r="G588" i="6"/>
  <c r="H588" i="6"/>
  <c r="G582" i="6"/>
  <c r="H582" i="6"/>
  <c r="G1374" i="6"/>
  <c r="G1365" i="6" s="1"/>
  <c r="H578" i="6"/>
  <c r="G567" i="6"/>
  <c r="G1368" i="6" s="1"/>
  <c r="G1171" i="6" s="1"/>
  <c r="H567" i="6"/>
  <c r="G565" i="6"/>
  <c r="H565" i="6"/>
  <c r="G564" i="6"/>
  <c r="H564" i="6"/>
  <c r="G557" i="6"/>
  <c r="H557" i="6"/>
  <c r="J657" i="6" l="1"/>
  <c r="J661" i="6"/>
  <c r="J694" i="6"/>
  <c r="J711" i="6"/>
  <c r="J712" i="6"/>
  <c r="H744" i="6"/>
  <c r="J744" i="6" s="1"/>
  <c r="J753" i="6"/>
  <c r="J754" i="6"/>
  <c r="J578" i="6"/>
  <c r="J579" i="6"/>
  <c r="H603" i="6"/>
  <c r="J603" i="6" s="1"/>
  <c r="J605" i="6"/>
  <c r="J675" i="6"/>
  <c r="J676" i="6"/>
  <c r="J702" i="6"/>
  <c r="J703" i="6"/>
  <c r="J715" i="6"/>
  <c r="J716" i="6"/>
  <c r="H1368" i="6"/>
  <c r="H1171" i="6" s="1"/>
  <c r="J567" i="6"/>
  <c r="H597" i="6"/>
  <c r="J600" i="6"/>
  <c r="J601" i="6"/>
  <c r="J641" i="6"/>
  <c r="J658" i="6"/>
  <c r="J660" i="6"/>
  <c r="J662" i="6"/>
  <c r="J663" i="6"/>
  <c r="J665" i="6"/>
  <c r="J666" i="6"/>
  <c r="J686" i="6"/>
  <c r="J691" i="6"/>
  <c r="J693" i="6"/>
  <c r="J698" i="6"/>
  <c r="J701" i="6"/>
  <c r="H704" i="6"/>
  <c r="J704" i="6" s="1"/>
  <c r="J705" i="6"/>
  <c r="J728" i="6"/>
  <c r="J731" i="6"/>
  <c r="J732" i="6"/>
  <c r="J741" i="6"/>
  <c r="H748" i="6"/>
  <c r="J750" i="6"/>
  <c r="J752" i="6"/>
  <c r="J757" i="6"/>
  <c r="J756" i="6"/>
  <c r="H902" i="6"/>
  <c r="H901" i="6"/>
  <c r="J558" i="6"/>
  <c r="J565" i="6"/>
  <c r="J566" i="6"/>
  <c r="J588" i="6"/>
  <c r="J589" i="6"/>
  <c r="J645" i="6"/>
  <c r="H733" i="6"/>
  <c r="J733" i="6" s="1"/>
  <c r="J735" i="6"/>
  <c r="H559" i="6"/>
  <c r="J582" i="6"/>
  <c r="J583" i="6"/>
  <c r="G748" i="6"/>
  <c r="G747" i="6" s="1"/>
  <c r="G746" i="6" s="1"/>
  <c r="H636" i="6"/>
  <c r="I637" i="6"/>
  <c r="H720" i="6"/>
  <c r="I724" i="6"/>
  <c r="H846" i="6"/>
  <c r="I846" i="6" s="1"/>
  <c r="I886" i="6"/>
  <c r="H1367" i="6"/>
  <c r="G1378" i="6"/>
  <c r="G1366" i="6" s="1"/>
  <c r="G559" i="6"/>
  <c r="H844" i="6"/>
  <c r="H1001" i="6"/>
  <c r="H568" i="6"/>
  <c r="G844" i="6"/>
  <c r="H990" i="6"/>
  <c r="H976" i="6"/>
  <c r="G843" i="6"/>
  <c r="G783" i="6" s="1"/>
  <c r="H1329" i="6"/>
  <c r="I597" i="6"/>
  <c r="G1061" i="6"/>
  <c r="G1017" i="6"/>
  <c r="G845" i="6"/>
  <c r="G1304" i="6"/>
  <c r="G990" i="6"/>
  <c r="G975" i="6" s="1"/>
  <c r="H684" i="6"/>
  <c r="I685" i="6"/>
  <c r="I700" i="6"/>
  <c r="H725" i="6"/>
  <c r="I671" i="6"/>
  <c r="I909" i="6"/>
  <c r="H729" i="6"/>
  <c r="J729" i="6" s="1"/>
  <c r="G729" i="6"/>
  <c r="I801" i="6"/>
  <c r="H563" i="6"/>
  <c r="J563" i="6" s="1"/>
  <c r="I675" i="6"/>
  <c r="I711" i="6"/>
  <c r="I958" i="6"/>
  <c r="H931" i="6"/>
  <c r="H921" i="6" s="1"/>
  <c r="I932" i="6"/>
  <c r="I1305" i="6"/>
  <c r="H853" i="6"/>
  <c r="G861" i="6"/>
  <c r="G858" i="6" s="1"/>
  <c r="G871" i="6"/>
  <c r="I674" i="6"/>
  <c r="G725" i="6"/>
  <c r="G639" i="6"/>
  <c r="G638" i="6" s="1"/>
  <c r="G633" i="6" s="1"/>
  <c r="G563" i="6"/>
  <c r="G673" i="6"/>
  <c r="G672" i="6" s="1"/>
  <c r="I728" i="6"/>
  <c r="H849" i="6"/>
  <c r="G888" i="6"/>
  <c r="G887" i="6" s="1"/>
  <c r="I890" i="6"/>
  <c r="I1393" i="6"/>
  <c r="I970" i="6"/>
  <c r="G853" i="6"/>
  <c r="G655" i="6"/>
  <c r="I749" i="6"/>
  <c r="I819" i="6"/>
  <c r="I889" i="6"/>
  <c r="H896" i="6"/>
  <c r="G901" i="6"/>
  <c r="H977" i="6"/>
  <c r="I1208" i="6"/>
  <c r="G1329" i="6"/>
  <c r="I1330" i="6"/>
  <c r="H1061" i="6"/>
  <c r="I641" i="6"/>
  <c r="H1304" i="6"/>
  <c r="I1212" i="6"/>
  <c r="I562" i="6"/>
  <c r="H635" i="6"/>
  <c r="I640" i="6"/>
  <c r="H1223" i="6"/>
  <c r="I1158" i="6"/>
  <c r="I1334" i="6"/>
  <c r="H1020" i="6"/>
  <c r="I856" i="6"/>
  <c r="I561" i="6"/>
  <c r="H1378" i="6"/>
  <c r="H1366" i="6" s="1"/>
  <c r="H1374" i="6"/>
  <c r="I578" i="6"/>
  <c r="I569" i="6"/>
  <c r="I968" i="6"/>
  <c r="I962" i="6"/>
  <c r="I952" i="6"/>
  <c r="I1322" i="6"/>
  <c r="I903" i="6"/>
  <c r="G912" i="6"/>
  <c r="G899" i="6" s="1"/>
  <c r="H906" i="6"/>
  <c r="G902" i="6"/>
  <c r="I904" i="6"/>
  <c r="G896" i="6"/>
  <c r="I876" i="6"/>
  <c r="H875" i="6"/>
  <c r="I875" i="6" s="1"/>
  <c r="I1221" i="6"/>
  <c r="G866" i="6"/>
  <c r="I863" i="6"/>
  <c r="I864" i="6"/>
  <c r="I860" i="6"/>
  <c r="I852" i="6"/>
  <c r="I840" i="6"/>
  <c r="H830" i="6"/>
  <c r="I831" i="6"/>
  <c r="H828" i="6"/>
  <c r="H817" i="6"/>
  <c r="H812" i="6"/>
  <c r="G802" i="6"/>
  <c r="G793" i="6" s="1"/>
  <c r="I690" i="6"/>
  <c r="I692" i="6"/>
  <c r="I694" i="6"/>
  <c r="I691" i="6"/>
  <c r="I698" i="6"/>
  <c r="I697" i="6"/>
  <c r="I696" i="6"/>
  <c r="H643" i="6"/>
  <c r="I644" i="6"/>
  <c r="I604" i="6"/>
  <c r="I582" i="6"/>
  <c r="I557" i="6"/>
  <c r="I914" i="6"/>
  <c r="I907" i="6"/>
  <c r="I854" i="6"/>
  <c r="I829" i="6"/>
  <c r="I827" i="6"/>
  <c r="I826" i="6"/>
  <c r="I818" i="6"/>
  <c r="I804" i="6"/>
  <c r="I803" i="6"/>
  <c r="I799" i="6"/>
  <c r="I798" i="6"/>
  <c r="H655" i="6"/>
  <c r="I656" i="6"/>
  <c r="I664" i="6"/>
  <c r="I665" i="6"/>
  <c r="H785" i="6"/>
  <c r="H871" i="6"/>
  <c r="H918" i="6"/>
  <c r="I927" i="6"/>
  <c r="I1220" i="6"/>
  <c r="I991" i="6"/>
  <c r="H1239" i="6"/>
  <c r="I1240" i="6"/>
  <c r="I1310" i="6"/>
  <c r="H861" i="6"/>
  <c r="H858" i="6" s="1"/>
  <c r="I862" i="6"/>
  <c r="I867" i="6"/>
  <c r="I868" i="6"/>
  <c r="H911" i="6"/>
  <c r="I913" i="6"/>
  <c r="I1343" i="6"/>
  <c r="H1218" i="6"/>
  <c r="H1257" i="6"/>
  <c r="I1262" i="6"/>
  <c r="H1113" i="6"/>
  <c r="I1114" i="6"/>
  <c r="I1225" i="6"/>
  <c r="G1223" i="6"/>
  <c r="G568" i="6"/>
  <c r="G546" i="6" s="1"/>
  <c r="G898" i="6"/>
  <c r="H802" i="6"/>
  <c r="H639" i="6"/>
  <c r="J640" i="6" s="1"/>
  <c r="H912" i="6"/>
  <c r="G911" i="6"/>
  <c r="H673" i="6"/>
  <c r="H825" i="6"/>
  <c r="G1369" i="6"/>
  <c r="G1364" i="6" s="1"/>
  <c r="G1218" i="6"/>
  <c r="H822" i="6"/>
  <c r="H810" i="6"/>
  <c r="G810" i="6"/>
  <c r="G806" i="6" s="1"/>
  <c r="G825" i="6"/>
  <c r="H898" i="6"/>
  <c r="H908" i="6"/>
  <c r="G817" i="6"/>
  <c r="H707" i="6"/>
  <c r="G739" i="6"/>
  <c r="G908" i="6"/>
  <c r="G707" i="6"/>
  <c r="G849" i="6"/>
  <c r="H888" i="6"/>
  <c r="H866" i="6"/>
  <c r="G556" i="6"/>
  <c r="H556" i="6"/>
  <c r="G555" i="6"/>
  <c r="H555" i="6"/>
  <c r="J555" i="6" s="1"/>
  <c r="G550" i="6"/>
  <c r="H550" i="6"/>
  <c r="G549" i="6"/>
  <c r="H549" i="6"/>
  <c r="G548" i="6"/>
  <c r="H548" i="6"/>
  <c r="J548" i="6" s="1"/>
  <c r="G543" i="6"/>
  <c r="G542" i="6" s="1"/>
  <c r="H543" i="6"/>
  <c r="G540" i="6"/>
  <c r="H540" i="6"/>
  <c r="G538" i="6"/>
  <c r="G536" i="6" s="1"/>
  <c r="G526" i="6"/>
  <c r="H526" i="6"/>
  <c r="G519" i="6"/>
  <c r="G518" i="6" s="1"/>
  <c r="H519" i="6"/>
  <c r="G510" i="6"/>
  <c r="G505" i="6" s="1"/>
  <c r="H510" i="6"/>
  <c r="G500" i="6"/>
  <c r="H500" i="6"/>
  <c r="G496" i="6"/>
  <c r="H496" i="6"/>
  <c r="H492" i="6"/>
  <c r="G490" i="6"/>
  <c r="H945" i="6"/>
  <c r="G485" i="6"/>
  <c r="G941" i="6" s="1"/>
  <c r="G924" i="6" s="1"/>
  <c r="G484" i="6"/>
  <c r="H484" i="6"/>
  <c r="G483" i="6"/>
  <c r="G1327" i="6" s="1"/>
  <c r="H483" i="6"/>
  <c r="G481" i="6"/>
  <c r="G466" i="6" s="1"/>
  <c r="G934" i="6" s="1"/>
  <c r="G923" i="6" s="1"/>
  <c r="H481" i="6"/>
  <c r="J481" i="6" s="1"/>
  <c r="H480" i="6"/>
  <c r="H479" i="6"/>
  <c r="G478" i="6"/>
  <c r="G477" i="6" s="1"/>
  <c r="G464" i="6" s="1"/>
  <c r="H478" i="6"/>
  <c r="G476" i="6"/>
  <c r="H476" i="6"/>
  <c r="G475" i="6"/>
  <c r="H475" i="6"/>
  <c r="G473" i="6"/>
  <c r="G929" i="6" s="1"/>
  <c r="G928" i="6" s="1"/>
  <c r="G919" i="6" s="1"/>
  <c r="H473" i="6"/>
  <c r="G471" i="6"/>
  <c r="G459" i="6" s="1"/>
  <c r="H471" i="6"/>
  <c r="G470" i="6"/>
  <c r="G458" i="6" s="1"/>
  <c r="G462" i="6"/>
  <c r="H462" i="6"/>
  <c r="G411" i="6"/>
  <c r="H411" i="6"/>
  <c r="G451" i="6"/>
  <c r="H451" i="6"/>
  <c r="G447" i="6"/>
  <c r="G442" i="6" s="1"/>
  <c r="G440" i="6" s="1"/>
  <c r="H447" i="6"/>
  <c r="G430" i="6"/>
  <c r="G426" i="6"/>
  <c r="G412" i="6" s="1"/>
  <c r="H426" i="6"/>
  <c r="G422" i="6"/>
  <c r="G1288" i="6" s="1"/>
  <c r="G1277" i="6" s="1"/>
  <c r="H422" i="6"/>
  <c r="G410" i="6"/>
  <c r="H410" i="6"/>
  <c r="G409" i="6"/>
  <c r="H409" i="6"/>
  <c r="G408" i="6"/>
  <c r="H408" i="6"/>
  <c r="G406" i="6"/>
  <c r="H406" i="6"/>
  <c r="G404" i="6"/>
  <c r="H404" i="6"/>
  <c r="G402" i="6"/>
  <c r="H402" i="6"/>
  <c r="G401" i="6"/>
  <c r="H401" i="6"/>
  <c r="G382" i="6"/>
  <c r="G376" i="6" s="1"/>
  <c r="H384" i="6"/>
  <c r="G381" i="6"/>
  <c r="H381" i="6"/>
  <c r="J381" i="6" s="1"/>
  <c r="G1254" i="6"/>
  <c r="G378" i="6"/>
  <c r="H378" i="6"/>
  <c r="H884" i="6"/>
  <c r="G1250" i="6"/>
  <c r="G1249" i="6" s="1"/>
  <c r="H362" i="6"/>
  <c r="G352" i="6"/>
  <c r="H352" i="6"/>
  <c r="G349" i="6"/>
  <c r="H349" i="6"/>
  <c r="G341" i="6"/>
  <c r="H341" i="6"/>
  <c r="G329" i="6"/>
  <c r="G322" i="6" s="1"/>
  <c r="H329" i="6"/>
  <c r="G314" i="6"/>
  <c r="G311" i="6" s="1"/>
  <c r="H314" i="6"/>
  <c r="G310" i="6"/>
  <c r="G308" i="6" s="1"/>
  <c r="H310" i="6"/>
  <c r="G307" i="6"/>
  <c r="H307" i="6"/>
  <c r="G306" i="6"/>
  <c r="H306" i="6"/>
  <c r="G305" i="6"/>
  <c r="H305" i="6"/>
  <c r="G304" i="6"/>
  <c r="H304" i="6"/>
  <c r="G303" i="6"/>
  <c r="H303" i="6"/>
  <c r="J303" i="6" s="1"/>
  <c r="G302" i="6"/>
  <c r="H302" i="6"/>
  <c r="G301" i="6"/>
  <c r="H301" i="6"/>
  <c r="G297" i="6"/>
  <c r="H297" i="6"/>
  <c r="G295" i="6"/>
  <c r="H295" i="6"/>
  <c r="G287" i="6"/>
  <c r="H287" i="6"/>
  <c r="H277" i="6"/>
  <c r="G272" i="6"/>
  <c r="H272" i="6"/>
  <c r="G269" i="6"/>
  <c r="H269" i="6"/>
  <c r="G263" i="6"/>
  <c r="H263" i="6"/>
  <c r="G247" i="6"/>
  <c r="G254" i="6"/>
  <c r="H254" i="6"/>
  <c r="G250" i="6"/>
  <c r="H250" i="6"/>
  <c r="G246" i="6"/>
  <c r="H246" i="6"/>
  <c r="J246" i="6" s="1"/>
  <c r="G236" i="6"/>
  <c r="G233" i="6" s="1"/>
  <c r="H236" i="6"/>
  <c r="G229" i="6"/>
  <c r="H1179" i="6"/>
  <c r="G212" i="6"/>
  <c r="G209" i="6"/>
  <c r="H209" i="6"/>
  <c r="G202" i="6"/>
  <c r="H202" i="6"/>
  <c r="G197" i="6"/>
  <c r="H197" i="6"/>
  <c r="G195" i="6"/>
  <c r="H195" i="6"/>
  <c r="G173" i="6"/>
  <c r="H173" i="6"/>
  <c r="G166" i="6"/>
  <c r="G138" i="6" s="1"/>
  <c r="G137" i="6" s="1"/>
  <c r="H166" i="6"/>
  <c r="G134" i="6"/>
  <c r="H134" i="6"/>
  <c r="G122" i="6"/>
  <c r="G121" i="6" s="1"/>
  <c r="H122" i="6"/>
  <c r="H121" i="6" s="1"/>
  <c r="G116" i="6"/>
  <c r="H116" i="6"/>
  <c r="G109" i="6"/>
  <c r="G108" i="6" s="1"/>
  <c r="H109" i="6"/>
  <c r="H108" i="6" s="1"/>
  <c r="G103" i="6"/>
  <c r="H103" i="6"/>
  <c r="I103" i="6" s="1"/>
  <c r="G92" i="6"/>
  <c r="H92" i="6"/>
  <c r="G89" i="6"/>
  <c r="H89" i="6"/>
  <c r="G84" i="6"/>
  <c r="G699" i="6" s="1"/>
  <c r="H84" i="6"/>
  <c r="G695" i="6"/>
  <c r="H80" i="6"/>
  <c r="G73" i="6"/>
  <c r="G689" i="6" s="1"/>
  <c r="H73" i="6"/>
  <c r="G68" i="6"/>
  <c r="H68" i="6"/>
  <c r="I68" i="6" s="1"/>
  <c r="G57" i="6"/>
  <c r="G56" i="6" s="1"/>
  <c r="H57" i="6"/>
  <c r="G53" i="6"/>
  <c r="H53" i="6"/>
  <c r="G39" i="6"/>
  <c r="H39" i="6"/>
  <c r="G27" i="6"/>
  <c r="G26" i="6" s="1"/>
  <c r="H27" i="6"/>
  <c r="H26" i="6" s="1"/>
  <c r="G23" i="6"/>
  <c r="G22" i="6" s="1"/>
  <c r="H23" i="6"/>
  <c r="H22" i="6" s="1"/>
  <c r="G20" i="6"/>
  <c r="G19" i="6" s="1"/>
  <c r="G18" i="6" s="1"/>
  <c r="H20" i="6"/>
  <c r="D696" i="6"/>
  <c r="B696" i="6"/>
  <c r="M184" i="6"/>
  <c r="M182" i="6"/>
  <c r="J734" i="6" l="1"/>
  <c r="J730" i="6"/>
  <c r="J307" i="6"/>
  <c r="J410" i="6"/>
  <c r="J556" i="6"/>
  <c r="J604" i="6"/>
  <c r="J305" i="6"/>
  <c r="J342" i="6"/>
  <c r="J341" i="6"/>
  <c r="J353" i="6"/>
  <c r="J352" i="6"/>
  <c r="J500" i="6"/>
  <c r="J501" i="6"/>
  <c r="I684" i="6"/>
  <c r="J270" i="6"/>
  <c r="J269" i="6"/>
  <c r="J278" i="6"/>
  <c r="J277" i="6"/>
  <c r="I451" i="6"/>
  <c r="J451" i="6"/>
  <c r="J452" i="6"/>
  <c r="J463" i="6"/>
  <c r="J540" i="6"/>
  <c r="J541" i="6"/>
  <c r="J550" i="6"/>
  <c r="J551" i="6"/>
  <c r="J708" i="6"/>
  <c r="I635" i="6"/>
  <c r="J250" i="6"/>
  <c r="J251" i="6"/>
  <c r="J302" i="6"/>
  <c r="J306" i="6"/>
  <c r="J350" i="6"/>
  <c r="J349" i="6"/>
  <c r="J384" i="6"/>
  <c r="J385" i="6"/>
  <c r="J476" i="6"/>
  <c r="J496" i="6"/>
  <c r="J497" i="6"/>
  <c r="J527" i="6"/>
  <c r="J254" i="6"/>
  <c r="J255" i="6"/>
  <c r="H311" i="6"/>
  <c r="J314" i="6"/>
  <c r="J315" i="6"/>
  <c r="J426" i="6"/>
  <c r="J427" i="6"/>
  <c r="J484" i="6"/>
  <c r="J485" i="6"/>
  <c r="J520" i="6"/>
  <c r="J492" i="6"/>
  <c r="J493" i="6"/>
  <c r="J725" i="6"/>
  <c r="J726" i="6"/>
  <c r="I636" i="6"/>
  <c r="J636" i="6"/>
  <c r="J644" i="6"/>
  <c r="J685" i="6"/>
  <c r="H233" i="6"/>
  <c r="J237" i="6"/>
  <c r="J236" i="6"/>
  <c r="J287" i="6"/>
  <c r="J288" i="6"/>
  <c r="I297" i="6"/>
  <c r="J304" i="6"/>
  <c r="H212" i="6"/>
  <c r="J310" i="6"/>
  <c r="J330" i="6"/>
  <c r="J329" i="6"/>
  <c r="J362" i="6"/>
  <c r="J363" i="6"/>
  <c r="J402" i="6"/>
  <c r="J409" i="6"/>
  <c r="H1288" i="6"/>
  <c r="H1277" i="6" s="1"/>
  <c r="J422" i="6"/>
  <c r="J423" i="6"/>
  <c r="H472" i="6"/>
  <c r="J473" i="6" s="1"/>
  <c r="J479" i="6"/>
  <c r="H505" i="6"/>
  <c r="J510" i="6"/>
  <c r="J511" i="6"/>
  <c r="J568" i="6"/>
  <c r="J569" i="6"/>
  <c r="J559" i="6"/>
  <c r="J560" i="6"/>
  <c r="J656" i="6"/>
  <c r="J597" i="6"/>
  <c r="J598" i="6"/>
  <c r="J263" i="6"/>
  <c r="J264" i="6"/>
  <c r="J273" i="6"/>
  <c r="J272" i="6"/>
  <c r="H442" i="6"/>
  <c r="J447" i="6"/>
  <c r="J448" i="6"/>
  <c r="J411" i="6"/>
  <c r="J480" i="6"/>
  <c r="J544" i="6"/>
  <c r="J549" i="6"/>
  <c r="H739" i="6"/>
  <c r="J720" i="6"/>
  <c r="J721" i="6"/>
  <c r="J637" i="6"/>
  <c r="J564" i="6"/>
  <c r="J557" i="6"/>
  <c r="J749" i="6"/>
  <c r="J674" i="6"/>
  <c r="J745" i="6"/>
  <c r="H1250" i="6"/>
  <c r="H1249" i="6" s="1"/>
  <c r="H1222" i="6" s="1"/>
  <c r="H1217" i="6" s="1"/>
  <c r="I362" i="6"/>
  <c r="H1292" i="6"/>
  <c r="I426" i="6"/>
  <c r="G1016" i="6"/>
  <c r="G1015" i="6" s="1"/>
  <c r="G1014" i="6" s="1"/>
  <c r="I931" i="6"/>
  <c r="G1183" i="6"/>
  <c r="H546" i="6"/>
  <c r="H210" i="6"/>
  <c r="G784" i="6"/>
  <c r="H296" i="6"/>
  <c r="J296" i="6" s="1"/>
  <c r="H848" i="6"/>
  <c r="H883" i="6"/>
  <c r="I883" i="6" s="1"/>
  <c r="H201" i="6"/>
  <c r="G201" i="6"/>
  <c r="G706" i="6"/>
  <c r="H699" i="6"/>
  <c r="I84" i="6"/>
  <c r="I810" i="6"/>
  <c r="H19" i="6"/>
  <c r="I19" i="6" s="1"/>
  <c r="I20" i="6"/>
  <c r="I853" i="6"/>
  <c r="I921" i="6"/>
  <c r="I828" i="6"/>
  <c r="I817" i="6"/>
  <c r="G967" i="6"/>
  <c r="G789" i="6" s="1"/>
  <c r="H850" i="6"/>
  <c r="G847" i="6"/>
  <c r="G790" i="6" s="1"/>
  <c r="I173" i="6"/>
  <c r="I108" i="6"/>
  <c r="G415" i="6"/>
  <c r="G400" i="6" s="1"/>
  <c r="I906" i="6"/>
  <c r="H308" i="6"/>
  <c r="G356" i="6"/>
  <c r="G355" i="6" s="1"/>
  <c r="H128" i="6"/>
  <c r="I57" i="6"/>
  <c r="G128" i="6"/>
  <c r="G296" i="6"/>
  <c r="G294" i="6" s="1"/>
  <c r="H412" i="6"/>
  <c r="H482" i="6"/>
  <c r="J482" i="6" s="1"/>
  <c r="G407" i="6"/>
  <c r="G204" i="6" s="1"/>
  <c r="G468" i="6"/>
  <c r="G211" i="6" s="1"/>
  <c r="I655" i="6"/>
  <c r="I1338" i="6"/>
  <c r="I1304" i="6"/>
  <c r="G850" i="6"/>
  <c r="H786" i="6"/>
  <c r="J786" i="6" s="1"/>
  <c r="G91" i="6"/>
  <c r="I547" i="6"/>
  <c r="I139" i="6"/>
  <c r="I510" i="6"/>
  <c r="H56" i="6"/>
  <c r="H38" i="6" s="1"/>
  <c r="H138" i="6"/>
  <c r="H137" i="6" s="1"/>
  <c r="G337" i="6"/>
  <c r="I447" i="6"/>
  <c r="H1369" i="6"/>
  <c r="H1364" i="6" s="1"/>
  <c r="I422" i="6"/>
  <c r="H518" i="6"/>
  <c r="J518" i="6" s="1"/>
  <c r="I53" i="6"/>
  <c r="I92" i="6"/>
  <c r="I195" i="6"/>
  <c r="I307" i="6"/>
  <c r="G298" i="6"/>
  <c r="H356" i="6"/>
  <c r="H407" i="6"/>
  <c r="J407" i="6" s="1"/>
  <c r="I500" i="6"/>
  <c r="H525" i="6"/>
  <c r="J525" i="6" s="1"/>
  <c r="I549" i="6"/>
  <c r="H847" i="6"/>
  <c r="I898" i="6"/>
  <c r="G797" i="6"/>
  <c r="I305" i="6"/>
  <c r="I23" i="6"/>
  <c r="I39" i="6"/>
  <c r="H91" i="6"/>
  <c r="I263" i="6"/>
  <c r="H415" i="6"/>
  <c r="I514" i="6"/>
  <c r="H542" i="6"/>
  <c r="J542" i="6" s="1"/>
  <c r="I543" i="6"/>
  <c r="I603" i="6"/>
  <c r="I725" i="6"/>
  <c r="I1374" i="6"/>
  <c r="G17" i="6"/>
  <c r="G525" i="6"/>
  <c r="H975" i="6"/>
  <c r="I897" i="6"/>
  <c r="H634" i="6"/>
  <c r="J635" i="6" s="1"/>
  <c r="G474" i="6"/>
  <c r="G482" i="6"/>
  <c r="G467" i="6" s="1"/>
  <c r="G206" i="6" s="1"/>
  <c r="I1223" i="6"/>
  <c r="H1019" i="6"/>
  <c r="H337" i="6"/>
  <c r="I559" i="6"/>
  <c r="I1366" i="6"/>
  <c r="I568" i="6"/>
  <c r="H1365" i="6"/>
  <c r="I1365" i="6" s="1"/>
  <c r="H196" i="6"/>
  <c r="J196" i="6" s="1"/>
  <c r="I990" i="6"/>
  <c r="I976" i="6"/>
  <c r="H536" i="6"/>
  <c r="H524" i="6"/>
  <c r="J524" i="6" s="1"/>
  <c r="G524" i="6"/>
  <c r="I519" i="6"/>
  <c r="I1329" i="6"/>
  <c r="H474" i="6"/>
  <c r="J474" i="6" s="1"/>
  <c r="H947" i="6"/>
  <c r="H466" i="6"/>
  <c r="I918" i="6"/>
  <c r="G472" i="6"/>
  <c r="G461" i="6" s="1"/>
  <c r="G199" i="6" s="1"/>
  <c r="G487" i="6"/>
  <c r="H929" i="6"/>
  <c r="I492" i="6"/>
  <c r="H477" i="6"/>
  <c r="J477" i="6" s="1"/>
  <c r="H205" i="6"/>
  <c r="I452" i="6"/>
  <c r="I911" i="6"/>
  <c r="H895" i="6"/>
  <c r="I908" i="6"/>
  <c r="H1301" i="6"/>
  <c r="H1295" i="6" s="1"/>
  <c r="G895" i="6"/>
  <c r="I896" i="6"/>
  <c r="I902" i="6"/>
  <c r="H379" i="6"/>
  <c r="H382" i="6"/>
  <c r="G379" i="6"/>
  <c r="G1253" i="6" s="1"/>
  <c r="H887" i="6"/>
  <c r="I384" i="6"/>
  <c r="I295" i="6"/>
  <c r="H874" i="6"/>
  <c r="H294" i="6"/>
  <c r="J294" i="6" s="1"/>
  <c r="I302" i="6"/>
  <c r="I341" i="6"/>
  <c r="I1239" i="6"/>
  <c r="I303" i="6"/>
  <c r="I292" i="6"/>
  <c r="H322" i="6"/>
  <c r="I329" i="6"/>
  <c r="H298" i="6"/>
  <c r="I861" i="6"/>
  <c r="I304" i="6"/>
  <c r="I311" i="6"/>
  <c r="H837" i="6"/>
  <c r="I830" i="6"/>
  <c r="I269" i="6"/>
  <c r="I785" i="6"/>
  <c r="I825" i="6"/>
  <c r="H247" i="6"/>
  <c r="H257" i="6"/>
  <c r="G257" i="6"/>
  <c r="G242" i="6" s="1"/>
  <c r="H809" i="6"/>
  <c r="H806" i="6" s="1"/>
  <c r="H1183" i="6"/>
  <c r="I209" i="6"/>
  <c r="H689" i="6"/>
  <c r="I73" i="6"/>
  <c r="H695" i="6"/>
  <c r="I80" i="6"/>
  <c r="H642" i="6"/>
  <c r="I643" i="6"/>
  <c r="I1378" i="6"/>
  <c r="I555" i="6"/>
  <c r="I538" i="6"/>
  <c r="I473" i="6"/>
  <c r="I481" i="6"/>
  <c r="I496" i="6"/>
  <c r="I432" i="6"/>
  <c r="I888" i="6"/>
  <c r="I866" i="6"/>
  <c r="I858" i="6"/>
  <c r="I314" i="6"/>
  <c r="I293" i="6"/>
  <c r="I287" i="6"/>
  <c r="I277" i="6"/>
  <c r="I272" i="6"/>
  <c r="I258" i="6"/>
  <c r="I229" i="6"/>
  <c r="I26" i="6"/>
  <c r="I27" i="6"/>
  <c r="I475" i="6"/>
  <c r="I479" i="6"/>
  <c r="I480" i="6"/>
  <c r="H747" i="6"/>
  <c r="J748" i="6" s="1"/>
  <c r="I748" i="6"/>
  <c r="H672" i="6"/>
  <c r="J673" i="6" s="1"/>
  <c r="I673" i="6"/>
  <c r="H638" i="6"/>
  <c r="J638" i="6" s="1"/>
  <c r="I639" i="6"/>
  <c r="H459" i="6"/>
  <c r="I471" i="6"/>
  <c r="I843" i="6"/>
  <c r="H899" i="6"/>
  <c r="I912" i="6"/>
  <c r="H793" i="6"/>
  <c r="I802" i="6"/>
  <c r="H1252" i="6"/>
  <c r="I1257" i="6"/>
  <c r="H967" i="6"/>
  <c r="H789" i="6" s="1"/>
  <c r="I526" i="6"/>
  <c r="I540" i="6"/>
  <c r="H706" i="6"/>
  <c r="J706" i="6" s="1"/>
  <c r="I707" i="6"/>
  <c r="H784" i="6"/>
  <c r="J785" i="6" s="1"/>
  <c r="I844" i="6"/>
  <c r="I1179" i="6"/>
  <c r="I248" i="6"/>
  <c r="I378" i="6"/>
  <c r="H1255" i="6"/>
  <c r="I381" i="6"/>
  <c r="I401" i="6"/>
  <c r="I402" i="6"/>
  <c r="I404" i="6"/>
  <c r="I409" i="6"/>
  <c r="I410" i="6"/>
  <c r="H1327" i="6"/>
  <c r="H1328" i="6"/>
  <c r="I484" i="6"/>
  <c r="H1112" i="6"/>
  <c r="I1113" i="6"/>
  <c r="I1218" i="6"/>
  <c r="G214" i="6"/>
  <c r="H72" i="6"/>
  <c r="H67" i="6" s="1"/>
  <c r="G72" i="6"/>
  <c r="H797" i="6"/>
  <c r="G794" i="6"/>
  <c r="H300" i="6"/>
  <c r="J300" i="6" s="1"/>
  <c r="G300" i="6"/>
  <c r="H405" i="6"/>
  <c r="J405" i="6" s="1"/>
  <c r="H669" i="6"/>
  <c r="G837" i="6"/>
  <c r="G925" i="6"/>
  <c r="G916" i="6" s="1"/>
  <c r="G38" i="6"/>
  <c r="G669" i="6"/>
  <c r="G193" i="6"/>
  <c r="G1248" i="6"/>
  <c r="G1222" i="6"/>
  <c r="G1217" i="6" s="1"/>
  <c r="G1216" i="6" s="1"/>
  <c r="G205" i="6"/>
  <c r="G884" i="6"/>
  <c r="G1255" i="6"/>
  <c r="G200" i="6"/>
  <c r="G1292" i="6"/>
  <c r="H1187" i="6"/>
  <c r="H1186" i="6"/>
  <c r="H1169" i="6" s="1"/>
  <c r="H468" i="6"/>
  <c r="H941" i="6"/>
  <c r="G1179" i="6"/>
  <c r="G210" i="6"/>
  <c r="G208" i="6" s="1"/>
  <c r="G1186" i="6"/>
  <c r="G1169" i="6" s="1"/>
  <c r="G1187" i="6"/>
  <c r="H1248" i="6"/>
  <c r="H1254" i="6"/>
  <c r="H1279" i="6"/>
  <c r="H1281" i="6"/>
  <c r="H430" i="6"/>
  <c r="G405" i="6"/>
  <c r="G403" i="6" s="1"/>
  <c r="G1301" i="6"/>
  <c r="G1328" i="6"/>
  <c r="G945" i="6"/>
  <c r="G947" i="6"/>
  <c r="G194" i="6"/>
  <c r="G196" i="6"/>
  <c r="J406" i="6" l="1"/>
  <c r="J408" i="6"/>
  <c r="J519" i="6"/>
  <c r="J475" i="6"/>
  <c r="J430" i="6"/>
  <c r="J431" i="6"/>
  <c r="J298" i="6"/>
  <c r="J299" i="6"/>
  <c r="H208" i="6"/>
  <c r="J210" i="6"/>
  <c r="J234" i="6"/>
  <c r="J233" i="6"/>
  <c r="I642" i="6"/>
  <c r="J642" i="6"/>
  <c r="J690" i="6"/>
  <c r="J412" i="6"/>
  <c r="J413" i="6"/>
  <c r="J543" i="6"/>
  <c r="H461" i="6"/>
  <c r="J472" i="6"/>
  <c r="J197" i="6"/>
  <c r="J670" i="6"/>
  <c r="J669" i="6"/>
  <c r="J257" i="6"/>
  <c r="J258" i="6"/>
  <c r="J322" i="6"/>
  <c r="J323" i="6"/>
  <c r="J382" i="6"/>
  <c r="J383" i="6"/>
  <c r="J537" i="6"/>
  <c r="J536" i="6"/>
  <c r="J338" i="6"/>
  <c r="J337" i="6"/>
  <c r="J415" i="6"/>
  <c r="J416" i="6"/>
  <c r="H214" i="6"/>
  <c r="J639" i="6"/>
  <c r="H440" i="6"/>
  <c r="J442" i="6"/>
  <c r="J443" i="6"/>
  <c r="J506" i="6"/>
  <c r="J505" i="6"/>
  <c r="J297" i="6"/>
  <c r="J311" i="6"/>
  <c r="J312" i="6"/>
  <c r="J483" i="6"/>
  <c r="J707" i="6"/>
  <c r="J213" i="6"/>
  <c r="J546" i="6"/>
  <c r="J547" i="6"/>
  <c r="J739" i="6"/>
  <c r="J740" i="6"/>
  <c r="H211" i="6"/>
  <c r="J211" i="6" s="1"/>
  <c r="H194" i="6"/>
  <c r="I672" i="6"/>
  <c r="J672" i="6"/>
  <c r="J695" i="6"/>
  <c r="J696" i="6"/>
  <c r="J247" i="6"/>
  <c r="J248" i="6"/>
  <c r="J379" i="6"/>
  <c r="J380" i="6"/>
  <c r="H934" i="6"/>
  <c r="H791" i="6" s="1"/>
  <c r="J357" i="6"/>
  <c r="J308" i="6"/>
  <c r="J309" i="6"/>
  <c r="J699" i="6"/>
  <c r="J700" i="6"/>
  <c r="J202" i="6"/>
  <c r="J478" i="6"/>
  <c r="J301" i="6"/>
  <c r="J526" i="6"/>
  <c r="J643" i="6"/>
  <c r="J295" i="6"/>
  <c r="I634" i="6"/>
  <c r="I412" i="6"/>
  <c r="H200" i="6"/>
  <c r="J201" i="6" s="1"/>
  <c r="I296" i="6"/>
  <c r="G688" i="6"/>
  <c r="G67" i="6"/>
  <c r="G66" i="6" s="1"/>
  <c r="G65" i="6" s="1"/>
  <c r="G16" i="6"/>
  <c r="H467" i="6"/>
  <c r="J468" i="6" s="1"/>
  <c r="I1183" i="6"/>
  <c r="I706" i="6"/>
  <c r="I699" i="6"/>
  <c r="G966" i="6"/>
  <c r="G965" i="6" s="1"/>
  <c r="I947" i="6"/>
  <c r="I847" i="6"/>
  <c r="H845" i="6"/>
  <c r="H18" i="6"/>
  <c r="I18" i="6" s="1"/>
  <c r="G1326" i="6"/>
  <c r="G1317" i="6" s="1"/>
  <c r="G1313" i="6" s="1"/>
  <c r="G848" i="6"/>
  <c r="G883" i="6"/>
  <c r="I382" i="6"/>
  <c r="H790" i="6"/>
  <c r="I790" i="6" s="1"/>
  <c r="I356" i="6"/>
  <c r="G291" i="6"/>
  <c r="G282" i="6" s="1"/>
  <c r="G460" i="6"/>
  <c r="H460" i="6"/>
  <c r="J460" i="6" s="1"/>
  <c r="I415" i="6"/>
  <c r="I887" i="6"/>
  <c r="I695" i="6"/>
  <c r="I536" i="6"/>
  <c r="H966" i="6"/>
  <c r="H965" i="6" s="1"/>
  <c r="I789" i="6"/>
  <c r="I518" i="6"/>
  <c r="H355" i="6"/>
  <c r="J355" i="6" s="1"/>
  <c r="I850" i="6"/>
  <c r="I1369" i="6"/>
  <c r="I1328" i="6"/>
  <c r="I505" i="6"/>
  <c r="I22" i="6"/>
  <c r="I138" i="6"/>
  <c r="I474" i="6"/>
  <c r="I407" i="6"/>
  <c r="I91" i="6"/>
  <c r="I837" i="6"/>
  <c r="I482" i="6"/>
  <c r="H1326" i="6"/>
  <c r="I247" i="6"/>
  <c r="I379" i="6"/>
  <c r="I975" i="6"/>
  <c r="G469" i="6"/>
  <c r="G457" i="6" s="1"/>
  <c r="I525" i="6"/>
  <c r="I542" i="6"/>
  <c r="G465" i="6"/>
  <c r="G203" i="6" s="1"/>
  <c r="I466" i="6"/>
  <c r="I546" i="6"/>
  <c r="H464" i="6"/>
  <c r="J464" i="6" s="1"/>
  <c r="I411" i="6"/>
  <c r="H1296" i="6"/>
  <c r="H1276" i="6" s="1"/>
  <c r="I1301" i="6"/>
  <c r="I895" i="6"/>
  <c r="H1253" i="6"/>
  <c r="I442" i="6"/>
  <c r="I38" i="6"/>
  <c r="I56" i="6"/>
  <c r="H1166" i="6"/>
  <c r="I477" i="6"/>
  <c r="H1251" i="6"/>
  <c r="G377" i="6"/>
  <c r="I1288" i="6"/>
  <c r="H1018" i="6"/>
  <c r="I689" i="6"/>
  <c r="H377" i="6"/>
  <c r="I322" i="6"/>
  <c r="I337" i="6"/>
  <c r="I1364" i="6"/>
  <c r="I524" i="6"/>
  <c r="I201" i="6"/>
  <c r="H924" i="6"/>
  <c r="H465" i="6"/>
  <c r="J465" i="6" s="1"/>
  <c r="H928" i="6"/>
  <c r="H919" i="6" s="1"/>
  <c r="I205" i="6"/>
  <c r="I899" i="6"/>
  <c r="I430" i="6"/>
  <c r="H400" i="6"/>
  <c r="H376" i="6"/>
  <c r="J376" i="6" s="1"/>
  <c r="I1255" i="6"/>
  <c r="I874" i="6"/>
  <c r="H842" i="6"/>
  <c r="I300" i="6"/>
  <c r="I298" i="6"/>
  <c r="H242" i="6"/>
  <c r="I257" i="6"/>
  <c r="H787" i="6"/>
  <c r="J787" i="6" s="1"/>
  <c r="I806" i="6"/>
  <c r="I784" i="6"/>
  <c r="I797" i="6"/>
  <c r="H688" i="6"/>
  <c r="J688" i="6" s="1"/>
  <c r="I72" i="6"/>
  <c r="H66" i="6"/>
  <c r="I472" i="6"/>
  <c r="I929" i="6"/>
  <c r="I233" i="6"/>
  <c r="H1216" i="6"/>
  <c r="I793" i="6"/>
  <c r="H923" i="6"/>
  <c r="I934" i="6"/>
  <c r="I194" i="6"/>
  <c r="I1112" i="6"/>
  <c r="I967" i="6"/>
  <c r="I1252" i="6"/>
  <c r="I459" i="6"/>
  <c r="I638" i="6"/>
  <c r="H633" i="6"/>
  <c r="H746" i="6"/>
  <c r="J746" i="6" s="1"/>
  <c r="I747" i="6"/>
  <c r="H654" i="6"/>
  <c r="I669" i="6"/>
  <c r="H403" i="6"/>
  <c r="G942" i="6"/>
  <c r="G1166" i="6"/>
  <c r="G654" i="6"/>
  <c r="G1281" i="6"/>
  <c r="G1279" i="6"/>
  <c r="G1296" i="6"/>
  <c r="G1276" i="6" s="1"/>
  <c r="G1295" i="6"/>
  <c r="G1172" i="6"/>
  <c r="H1172" i="6"/>
  <c r="J689" i="6" l="1"/>
  <c r="J466" i="6"/>
  <c r="J212" i="6"/>
  <c r="H206" i="6"/>
  <c r="J467" i="6"/>
  <c r="J403" i="6"/>
  <c r="J404" i="6"/>
  <c r="J214" i="6"/>
  <c r="J215" i="6"/>
  <c r="J654" i="6"/>
  <c r="J655" i="6"/>
  <c r="J400" i="6"/>
  <c r="J401" i="6"/>
  <c r="J377" i="6"/>
  <c r="J378" i="6"/>
  <c r="J356" i="6"/>
  <c r="J747" i="6"/>
  <c r="J242" i="6"/>
  <c r="J243" i="6"/>
  <c r="J634" i="6"/>
  <c r="J195" i="6"/>
  <c r="J440" i="6"/>
  <c r="J441" i="6"/>
  <c r="J461" i="6"/>
  <c r="H199" i="6"/>
  <c r="J200" i="6" s="1"/>
  <c r="J462" i="6"/>
  <c r="J208" i="6"/>
  <c r="J209" i="6"/>
  <c r="H788" i="6"/>
  <c r="H683" i="6"/>
  <c r="G683" i="6"/>
  <c r="G682" i="6" s="1"/>
  <c r="G681" i="6" s="1"/>
  <c r="I467" i="6"/>
  <c r="I1326" i="6"/>
  <c r="H1317" i="6"/>
  <c r="H1313" i="6" s="1"/>
  <c r="I200" i="6"/>
  <c r="G1316" i="6"/>
  <c r="G1167" i="6" s="1"/>
  <c r="I848" i="6"/>
  <c r="I791" i="6"/>
  <c r="I1295" i="6"/>
  <c r="H17" i="6"/>
  <c r="I1296" i="6"/>
  <c r="I294" i="6"/>
  <c r="I966" i="6"/>
  <c r="I746" i="6"/>
  <c r="G192" i="6"/>
  <c r="I460" i="6"/>
  <c r="I355" i="6"/>
  <c r="H291" i="6"/>
  <c r="I1276" i="6"/>
  <c r="H204" i="6"/>
  <c r="H1315" i="6"/>
  <c r="I464" i="6"/>
  <c r="I405" i="6"/>
  <c r="I67" i="6"/>
  <c r="H1316" i="6"/>
  <c r="H1167" i="6" s="1"/>
  <c r="I208" i="6"/>
  <c r="G15" i="6"/>
  <c r="I1253" i="6"/>
  <c r="I377" i="6"/>
  <c r="H1162" i="6"/>
  <c r="G198" i="6"/>
  <c r="M192" i="6" s="1"/>
  <c r="H832" i="6"/>
  <c r="I832" i="6" s="1"/>
  <c r="I242" i="6"/>
  <c r="I137" i="6"/>
  <c r="I214" i="6"/>
  <c r="I440" i="6"/>
  <c r="I1277" i="6"/>
  <c r="I633" i="6"/>
  <c r="H1017" i="6"/>
  <c r="I845" i="6"/>
  <c r="I842" i="6"/>
  <c r="H794" i="6"/>
  <c r="H203" i="6"/>
  <c r="J203" i="6" s="1"/>
  <c r="I465" i="6"/>
  <c r="I923" i="6"/>
  <c r="H1275" i="6"/>
  <c r="I376" i="6"/>
  <c r="I1251" i="6"/>
  <c r="I688" i="6"/>
  <c r="H65" i="6"/>
  <c r="I66" i="6"/>
  <c r="I928" i="6"/>
  <c r="I461" i="6"/>
  <c r="I400" i="6"/>
  <c r="I1172" i="6"/>
  <c r="H198" i="6"/>
  <c r="J198" i="6" s="1"/>
  <c r="I403" i="6"/>
  <c r="H632" i="6"/>
  <c r="I654" i="6"/>
  <c r="I965" i="6"/>
  <c r="G1275" i="6"/>
  <c r="G1161" i="6" s="1"/>
  <c r="G1162" i="6"/>
  <c r="G632" i="6"/>
  <c r="G842" i="6"/>
  <c r="J204" i="6" l="1"/>
  <c r="J205" i="6"/>
  <c r="J684" i="6"/>
  <c r="J291" i="6"/>
  <c r="J292" i="6"/>
  <c r="J788" i="6"/>
  <c r="J789" i="6"/>
  <c r="J199" i="6"/>
  <c r="J633" i="6"/>
  <c r="J206" i="6"/>
  <c r="J207" i="6"/>
  <c r="H1161" i="6"/>
  <c r="O1161" i="6"/>
  <c r="P1161" i="6"/>
  <c r="I17" i="6"/>
  <c r="H16" i="6"/>
  <c r="I16" i="6" s="1"/>
  <c r="G13" i="6"/>
  <c r="G612" i="6" s="1"/>
  <c r="G610" i="6" s="1"/>
  <c r="G14" i="6"/>
  <c r="I291" i="6"/>
  <c r="H282" i="6"/>
  <c r="I1316" i="6"/>
  <c r="I1315" i="6"/>
  <c r="I204" i="6"/>
  <c r="I1313" i="6"/>
  <c r="I206" i="6"/>
  <c r="G1401" i="6"/>
  <c r="G1399" i="6" s="1"/>
  <c r="I1317" i="6"/>
  <c r="I683" i="6"/>
  <c r="H682" i="6"/>
  <c r="J683" i="6" s="1"/>
  <c r="I1167" i="6"/>
  <c r="I1275" i="6"/>
  <c r="I199" i="6"/>
  <c r="H1016" i="6"/>
  <c r="I1162" i="6"/>
  <c r="I1166" i="6"/>
  <c r="I203" i="6"/>
  <c r="I65" i="6"/>
  <c r="I919" i="6"/>
  <c r="I198" i="6"/>
  <c r="I632" i="6"/>
  <c r="G788" i="6"/>
  <c r="G832" i="6"/>
  <c r="G791" i="6"/>
  <c r="G631" i="6"/>
  <c r="J282" i="6" l="1"/>
  <c r="J283" i="6"/>
  <c r="L782" i="6"/>
  <c r="D6" i="6"/>
  <c r="H15" i="6"/>
  <c r="I282" i="6"/>
  <c r="I682" i="6"/>
  <c r="H681" i="6"/>
  <c r="J681" i="6" s="1"/>
  <c r="I1217" i="6"/>
  <c r="H1015" i="6"/>
  <c r="H1014" i="6" s="1"/>
  <c r="I788" i="6"/>
  <c r="G630" i="6"/>
  <c r="G629" i="6"/>
  <c r="G782" i="6"/>
  <c r="J682" i="6" l="1"/>
  <c r="H13" i="6"/>
  <c r="H14" i="6"/>
  <c r="I15" i="6"/>
  <c r="I681" i="6"/>
  <c r="H631" i="6"/>
  <c r="I1216" i="6"/>
  <c r="G1013" i="6"/>
  <c r="G1011" i="6"/>
  <c r="J632" i="6" l="1"/>
  <c r="I13" i="6"/>
  <c r="I14" i="6"/>
  <c r="H630" i="6"/>
  <c r="H629" i="6"/>
  <c r="J629" i="6" s="1"/>
  <c r="I631" i="6"/>
  <c r="I1161" i="6"/>
  <c r="I1014" i="6"/>
  <c r="H1401" i="6"/>
  <c r="J630" i="6" l="1"/>
  <c r="J631" i="6"/>
  <c r="I630" i="6"/>
  <c r="I629" i="6"/>
  <c r="I9" i="6"/>
  <c r="H1399" i="6"/>
  <c r="I488" i="6" l="1"/>
  <c r="H943" i="6"/>
  <c r="H942" i="6" s="1"/>
  <c r="H487" i="6"/>
  <c r="H470" i="6"/>
  <c r="I470" i="6" l="1"/>
  <c r="J471" i="6"/>
  <c r="J487" i="6"/>
  <c r="J488" i="6"/>
  <c r="H469" i="6"/>
  <c r="H926" i="6"/>
  <c r="H925" i="6" s="1"/>
  <c r="I925" i="6" s="1"/>
  <c r="I942" i="6"/>
  <c r="I487" i="6"/>
  <c r="H458" i="6"/>
  <c r="I943" i="6"/>
  <c r="I469" i="6" l="1"/>
  <c r="J469" i="6"/>
  <c r="J470" i="6"/>
  <c r="J458" i="6"/>
  <c r="J459" i="6"/>
  <c r="H916" i="6"/>
  <c r="I916" i="6" s="1"/>
  <c r="I926" i="6"/>
  <c r="H917" i="6"/>
  <c r="H457" i="6"/>
  <c r="I458" i="6"/>
  <c r="H193" i="6"/>
  <c r="N192" i="6" l="1"/>
  <c r="J194" i="6"/>
  <c r="H192" i="6"/>
  <c r="H612" i="6" s="1"/>
  <c r="J457" i="6"/>
  <c r="H782" i="6"/>
  <c r="J782" i="6" s="1"/>
  <c r="H783" i="6"/>
  <c r="I917" i="6"/>
  <c r="I457" i="6"/>
  <c r="I193" i="6"/>
  <c r="J612" i="6" l="1"/>
  <c r="J613" i="6"/>
  <c r="I192" i="6"/>
  <c r="I7" i="6" s="1"/>
  <c r="M782" i="6"/>
  <c r="J783" i="6"/>
  <c r="J784" i="6"/>
  <c r="J193" i="6"/>
  <c r="I782" i="6"/>
  <c r="I8" i="6" s="1"/>
  <c r="H1011" i="6"/>
  <c r="H1013" i="6"/>
  <c r="I783" i="6"/>
  <c r="H610" i="6"/>
  <c r="J610" i="6" l="1"/>
  <c r="J6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nfloruncut</author>
  </authors>
  <commentList>
    <comment ref="I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nfloruncut:</t>
        </r>
        <r>
          <rPr>
            <sz val="9"/>
            <color indexed="81"/>
            <rFont val="Tahoma"/>
            <family val="2"/>
          </rPr>
          <t xml:space="preserve">
24mii 85/2015
815mii hot</t>
        </r>
      </text>
    </comment>
  </commentList>
</comments>
</file>

<file path=xl/sharedStrings.xml><?xml version="1.0" encoding="utf-8"?>
<sst xmlns="http://schemas.openxmlformats.org/spreadsheetml/2006/main" count="2085" uniqueCount="725">
  <si>
    <t>DEFICIT</t>
  </si>
  <si>
    <t xml:space="preserve">EXCEDENT </t>
  </si>
  <si>
    <t>90</t>
  </si>
  <si>
    <t>TITLUL XIX. REZERVE, EXCEDENT / DEFICIT</t>
  </si>
  <si>
    <t xml:space="preserve">TITLUL VI TRANSFERURI INTRE UNITATI ALE ADMINISTRATIEI PUBLICE </t>
  </si>
  <si>
    <t>84.02.06.02</t>
  </si>
  <si>
    <t>3.SC AEROPORTUL SA</t>
  </si>
  <si>
    <t>40.03</t>
  </si>
  <si>
    <t>Subvenţii pentru acoperirea diferenţelor de preţ şi tarif</t>
  </si>
  <si>
    <t>40</t>
  </si>
  <si>
    <t xml:space="preserve">TITLUL IV SUBVENTII </t>
  </si>
  <si>
    <t>84.02.03.02</t>
  </si>
  <si>
    <t>2.COMPANIA DE TRANSPORT PUBLIC SA   ARAD</t>
  </si>
  <si>
    <t>85.01.02</t>
  </si>
  <si>
    <t>TITLUL XIX PLATI EFECTUATE IN ANII PRECEDENTI SI RECUPERATE IN ANUL CURENT IN SECTIUNE DE DEZVOLTARE A BL</t>
  </si>
  <si>
    <t>SURSE UE</t>
  </si>
  <si>
    <t>EXCEDENT</t>
  </si>
  <si>
    <t>VARSAMINTE</t>
  </si>
  <si>
    <t>81.04.</t>
  </si>
  <si>
    <t xml:space="preserve">TITLUL XVII RAMBURSARI DE CREDITE </t>
  </si>
  <si>
    <t>din 85</t>
  </si>
  <si>
    <t xml:space="preserve"> Sume din TVA</t>
  </si>
  <si>
    <t>PNDL  OUG nr.28/2013</t>
  </si>
  <si>
    <t>TITLUL XIII CHELTUIELI DE CAPITAL</t>
  </si>
  <si>
    <t>TITLUL X PROIECTE  CU FINANTARE DIN FONDURI EXTERNE NERAMB.(FEN) POSTADERARE</t>
  </si>
  <si>
    <t>TITLUL VIII PROIECTE  CU FINANTARE DIN FONDURI EXTERNE NERAMB.(FEN) POSTADERARE</t>
  </si>
  <si>
    <t>84.02.03.01</t>
  </si>
  <si>
    <t>1.DRUMURI ȘI PODURI JUDEȚENE</t>
  </si>
  <si>
    <t xml:space="preserve">TITLUL XVI RAMBURSARI DE CREDITE </t>
  </si>
  <si>
    <t>84.02</t>
  </si>
  <si>
    <r>
      <t xml:space="preserve">   Cap.84.02 Transporturi</t>
    </r>
    <r>
      <rPr>
        <sz val="10"/>
        <rFont val="Arial"/>
        <family val="2"/>
      </rPr>
      <t xml:space="preserve"> </t>
    </r>
  </si>
  <si>
    <t>TITLUL XII CHELTUIELI DE CAPITAL</t>
  </si>
  <si>
    <t>TITLUL VIII PROIECTE  CU FINANTARE DIN FONDURI EXTERNE NERAMB(FEN)POSTADERARE</t>
  </si>
  <si>
    <t xml:space="preserve">   Cap.74.02 Protecţia mediului- </t>
  </si>
  <si>
    <t>transferuri pentru dezvoltare-</t>
  </si>
  <si>
    <t>83.02</t>
  </si>
  <si>
    <t>Compania de Apă Arad</t>
  </si>
  <si>
    <t>70.02</t>
  </si>
  <si>
    <t xml:space="preserve">   Cap.70.02 Locuinţe, servicii si dezvoltare publică</t>
  </si>
  <si>
    <t>51.02.</t>
  </si>
  <si>
    <t>transferuri pentru dezvoltare</t>
  </si>
  <si>
    <t>2.U.A.M.S. SĂVÂRȘIN</t>
  </si>
  <si>
    <t>SURSE UE+BS</t>
  </si>
  <si>
    <t>TITLUL VIII PROIECTE  CU FINANTARE DIN FEN POSTADERARE 2014-2020</t>
  </si>
  <si>
    <t>X</t>
  </si>
  <si>
    <t>DGASPC-Asistenta sociala in caz de invaliditate</t>
  </si>
  <si>
    <t>DGASPC-Asistenta sociala pentru familie si copii</t>
  </si>
  <si>
    <t>TITLUL VIII PROIECTE  CU FINANTARE DIN FODURI EXTERNE NERAMB.(FEN) POSTADERARE</t>
  </si>
  <si>
    <t xml:space="preserve">1.DIRECȚIA GEN.ASISTENȚĂ SOCIALĂ ȘI PROTECȚIA COPILULUI </t>
  </si>
  <si>
    <t>51</t>
  </si>
  <si>
    <t>68.02</t>
  </si>
  <si>
    <t xml:space="preserve">   Cap.68.02 Asigurări si asistentă socială</t>
  </si>
  <si>
    <t>transferuri pentru dezvoltare-investiții</t>
  </si>
  <si>
    <t>transferuri pentru dezvoltare-proiecte</t>
  </si>
  <si>
    <t>3.CENTRUL CULTURAL JUDEȚEAN  ARAD</t>
  </si>
  <si>
    <t>2.COMPLEXUL MUZEAL JUDEȚEAN ARAD</t>
  </si>
  <si>
    <t>TITLUL X PROIECTE  CU FINANTARE DIN FODURI EXTERNE NERAMB.(FEN) POSTADERARE</t>
  </si>
  <si>
    <t>TITLUL II  BUNURI SI SERVICII</t>
  </si>
  <si>
    <t>TITLUL I  CHELTUIELI DE PERSONAL</t>
  </si>
  <si>
    <t>1.BIBLIOTECA JUDEȚEANĂ A.D.XENOPOL  ARAD</t>
  </si>
  <si>
    <t xml:space="preserve">          Din care:</t>
  </si>
  <si>
    <t xml:space="preserve">TITLUL X ALTE CHELTUIELI </t>
  </si>
  <si>
    <t>TITLUL VIII PROIECTE  CU FINANTARE DIN FONUDURI EXTERNE NERAMB.(FEN) POSTADERARE</t>
  </si>
  <si>
    <t>67.02</t>
  </si>
  <si>
    <t xml:space="preserve">  Cap.67.02 Cultură, recreere si religie </t>
  </si>
  <si>
    <t xml:space="preserve">3.Spitalul de Psihiatrie Mocrea </t>
  </si>
  <si>
    <t xml:space="preserve">2.Spitalul de  Psihiatrie Căpâlnaș </t>
  </si>
  <si>
    <t>1.Spitalul Clinic  Județean de Urgentă Arad</t>
  </si>
  <si>
    <t xml:space="preserve">TITLUL VI TRANSFERURI INTRE UNITATI ALE ADMINISTRATIEI PUBLICE  </t>
  </si>
  <si>
    <t>66.02</t>
  </si>
  <si>
    <t xml:space="preserve">  Cap.66.02 Sănatate </t>
  </si>
  <si>
    <t>51.02</t>
  </si>
  <si>
    <t xml:space="preserve">transferuri  pt. dezvoltare </t>
  </si>
  <si>
    <t>x</t>
  </si>
  <si>
    <t>4.Primăria Orașului Ineu (Liceul Tehnologic "Sava Brancovici" Ineu )</t>
  </si>
  <si>
    <t>TITLUL VIII PROIECTE  CU FINANTARE DIN FONDURI EXTERNE NERAMB.(FEN)POSTADERARE</t>
  </si>
  <si>
    <t xml:space="preserve">3.Centrul Judeţean de Resurse și de Asistentă Educațională Arad </t>
  </si>
  <si>
    <t>TITLUL VIII PROIECTE  CU FINANTARE DIN FONDURI EXTERNE NERAM(FEN)POSTADERARE</t>
  </si>
  <si>
    <t>2.Centrul Școlar pentru Educație Incluzivă Arad</t>
  </si>
  <si>
    <t>1.Liceu Special "Sfanta Maria" Arad</t>
  </si>
  <si>
    <t>INVĂȚĂMÂNT SPECIAL</t>
  </si>
  <si>
    <t>65.02</t>
  </si>
  <si>
    <t xml:space="preserve">  Cap.65.02 Invăţămant </t>
  </si>
  <si>
    <t>61.02.05</t>
  </si>
  <si>
    <t xml:space="preserve">  Cap.61.02 Ordine publică si sigurantă natională -Protectie civila</t>
  </si>
  <si>
    <t>60.02.02</t>
  </si>
  <si>
    <t xml:space="preserve">  Cap.60.02 Aparare nationala</t>
  </si>
  <si>
    <t>transferuri pentru dezvoltare-investitii</t>
  </si>
  <si>
    <t>54.02.50</t>
  </si>
  <si>
    <t>2.Serviciul Public Judeţean Salvamont-Salvaspeo Arad</t>
  </si>
  <si>
    <t>54.02.10</t>
  </si>
  <si>
    <t>1.Direcția Județeană de  Evidenţă a Persoanelor</t>
  </si>
  <si>
    <t xml:space="preserve">TITLUL XIII RAMBURSARI DE CREDITE </t>
  </si>
  <si>
    <r>
      <t xml:space="preserve">  3.OPERATIUNI FINANCIARE</t>
    </r>
    <r>
      <rPr>
        <sz val="10"/>
        <rFont val="Arial"/>
        <family val="2"/>
      </rPr>
      <t xml:space="preserve"> </t>
    </r>
  </si>
  <si>
    <t>54.02.07</t>
  </si>
  <si>
    <t>2.Rambursări credite  interne -imprumut proiecte</t>
  </si>
  <si>
    <t>50</t>
  </si>
  <si>
    <t>TITLUL V FONDURI DE REZERVA</t>
  </si>
  <si>
    <t>54.02.05</t>
  </si>
  <si>
    <t>1.Fond de rezerva bugetara la dispozitia autoritatilor locale</t>
  </si>
  <si>
    <t>54.02</t>
  </si>
  <si>
    <t xml:space="preserve">  Cap.54.02 Alte servicii publice generale </t>
  </si>
  <si>
    <t>Rambursarea imprumuturilor contractate pt.finantarea proiectelor  SD</t>
  </si>
  <si>
    <t>TITLUL XVII RAMBURSARI DE CREDITE INTERNE</t>
  </si>
  <si>
    <t>51.02.45</t>
  </si>
  <si>
    <t>transferuri pentru dezvoltare-proiecte FEN pentru alte UAT</t>
  </si>
  <si>
    <t xml:space="preserve">  Cap.51.02 Autoritaţi publice -CJA activitate proprie </t>
  </si>
  <si>
    <t>TITLUL X PROIECTE  CU FINANTARE DIN FODURI EXTERNE NERAMB.AFERENTE CADRULUI FINANCIAR 2014-2020</t>
  </si>
  <si>
    <t>TITLUL VIII  PROIECTE CU FINANTARE DIN FONDURI EXTERNE NERAMBURSABILE (FEN) POSTADERARE</t>
  </si>
  <si>
    <t xml:space="preserve">TITLUL VII ALTE TRANSFERURI </t>
  </si>
  <si>
    <t xml:space="preserve">TITLUL VI TRANSFERURI INTRE UNITATI ALE ADMIN. PUBLICE </t>
  </si>
  <si>
    <t>49.02</t>
  </si>
  <si>
    <t>TOTAL CHELTUIELI SECTIUNEA DE DEZVOLTARE</t>
  </si>
  <si>
    <t>48.02.02</t>
  </si>
  <si>
    <t>Fondul Social European</t>
  </si>
  <si>
    <t>48.02.01</t>
  </si>
  <si>
    <t>Fondul European de Dezvoltare Regionala</t>
  </si>
  <si>
    <t>48.02</t>
  </si>
  <si>
    <t>Sume primite de la UE in cadrul platilor efectuate aferenta cadrului financiar 2014-2020 (cod 48)</t>
  </si>
  <si>
    <t>46.02.04</t>
  </si>
  <si>
    <t>Alte sume primite de la UE pt.programele operationale finantate din cadrul financiar 2014-2020</t>
  </si>
  <si>
    <t>45.02.16.03</t>
  </si>
  <si>
    <t>Prefinantare</t>
  </si>
  <si>
    <t>45.02.16.02</t>
  </si>
  <si>
    <t>Sune primite in contul platilor efectuate in anii anteriori</t>
  </si>
  <si>
    <t>45.02.16.01</t>
  </si>
  <si>
    <t>Sume primite in contul platilor efectuate in anul curent</t>
  </si>
  <si>
    <t>45.02.16</t>
  </si>
  <si>
    <t xml:space="preserve">Alte facilitati si instrumente postaderare </t>
  </si>
  <si>
    <t>45.02.15.02</t>
  </si>
  <si>
    <t>45.02.15</t>
  </si>
  <si>
    <t>Programe comunit.finantate in per 2007-2013</t>
  </si>
  <si>
    <t>45.02.02.03</t>
  </si>
  <si>
    <t>45.02.02.02</t>
  </si>
  <si>
    <t>Sume primite in contul platilor efectuate in anii anteriori</t>
  </si>
  <si>
    <t>45.02.02.01</t>
  </si>
  <si>
    <t>45.02.02</t>
  </si>
  <si>
    <t>Fondul Social European (cod 45.02.02.01+45.02.02.02)</t>
  </si>
  <si>
    <t>45.02.01.03</t>
  </si>
  <si>
    <t>45.02.01.02</t>
  </si>
  <si>
    <t>45.02.01.01</t>
  </si>
  <si>
    <t>45.02.01</t>
  </si>
  <si>
    <t>Fondul European de Dezvoltare Regional (cod 45.02.01.01+45.02.01.02)</t>
  </si>
  <si>
    <t>45.02</t>
  </si>
  <si>
    <t>Sume primite de la UE in cadrul platilor efectuate (cod 45)</t>
  </si>
  <si>
    <t>42.02.65</t>
  </si>
  <si>
    <t>Finantarea Programului National de Dezvoltare Locala</t>
  </si>
  <si>
    <t>42.02.62</t>
  </si>
  <si>
    <t>42.02.59</t>
  </si>
  <si>
    <t>Finantarea Subprogramului Infrastructura la nivel judetean</t>
  </si>
  <si>
    <t>43.02.04</t>
  </si>
  <si>
    <t xml:space="preserve">Subvenţii de la bugetul asigurărilor pentru şomaj catre bugetele locale, pentru finanţarea programelor pentru ocuparea temporară a fortei de munca  </t>
  </si>
  <si>
    <t>43.02.01</t>
  </si>
  <si>
    <t>Subventii primite de  la  bugetele consiliilor judetene pentru protectia copilului</t>
  </si>
  <si>
    <t>43.02</t>
  </si>
  <si>
    <t xml:space="preserve">Subventii de la alte administratii </t>
  </si>
  <si>
    <t>42.02.44</t>
  </si>
  <si>
    <t xml:space="preserve">Subventii de la bugetul de stat pt.finantarea camerelor agricole </t>
  </si>
  <si>
    <t>42.02.42</t>
  </si>
  <si>
    <t>Sume primite programe FEGA implementate de APIA</t>
  </si>
  <si>
    <t>42.02.29</t>
  </si>
  <si>
    <t>Subventii primite pt lucrari de cadastru</t>
  </si>
  <si>
    <t>42.02.21</t>
  </si>
  <si>
    <t>Finantarea drepturilor acordate persoanelor cu handicap</t>
  </si>
  <si>
    <t>00.20</t>
  </si>
  <si>
    <t xml:space="preserve">B.  Curente </t>
  </si>
  <si>
    <t>42.02.69</t>
  </si>
  <si>
    <t>Subventii de la bugetul de stat catre bugetele locale necesare sustinerii derularii proiectelor finantate din FEN postaderare 2014-2020</t>
  </si>
  <si>
    <t>42.02.51.02</t>
  </si>
  <si>
    <t>Subvenții primite de la BS pentru finanțarea unor programe de interes național destinate SD</t>
  </si>
  <si>
    <t>42.02.20</t>
  </si>
  <si>
    <t>Subventii de la bugetul de stat catre bugetele locale necesare sustinerii derularii proiectelor finantate din FEN postaderare</t>
  </si>
  <si>
    <t>42.02.16</t>
  </si>
  <si>
    <t>Subventii de la BS catre BL pt.finant.aparaturii medicale si echip. De comunicatii in urgenta in sanatate</t>
  </si>
  <si>
    <t>42.02.10</t>
  </si>
  <si>
    <t>Finanţarea acţiunilor privind reducerea riscului seismic al construcţiilor existente cu destinaţie de locuinţă</t>
  </si>
  <si>
    <t>42.02.09.03</t>
  </si>
  <si>
    <t>Finanţarea subprogramului privind canalizarea si epurarea apelor uzate</t>
  </si>
  <si>
    <t>42.02.09.02</t>
  </si>
  <si>
    <t>Finanţarea subprogramului privind alimentarea cu apă a satelor</t>
  </si>
  <si>
    <t>42.02.09.01</t>
  </si>
  <si>
    <t>Finanţarea subprogramului privind pietruirea, reabilitarea, modernizarea şi/sau asfaltarea drumurilor de interes local clasate</t>
  </si>
  <si>
    <t>42.02.09</t>
  </si>
  <si>
    <t>Finanţarea programului de pietruire a drumurilor comunale şi alimentare cu apă a satelor</t>
  </si>
  <si>
    <t>42.02.07</t>
  </si>
  <si>
    <t>Finanţarea studiilor de fezabilitate aferente proiectelor SAPARD</t>
  </si>
  <si>
    <t>42.02.06</t>
  </si>
  <si>
    <t>Străzi care se vor amenaja în perimetrele destinate construcţiilor de cvartale de locuinţe noi</t>
  </si>
  <si>
    <t>42.02.05</t>
  </si>
  <si>
    <t>Planuri si  regulamente de urbanism</t>
  </si>
  <si>
    <t>42.02.04</t>
  </si>
  <si>
    <t>Aeroporturi de interes local</t>
  </si>
  <si>
    <t>42.02.03</t>
  </si>
  <si>
    <t>Investitii finantate partial din imprumuturi externe</t>
  </si>
  <si>
    <t>42.02.01</t>
  </si>
  <si>
    <t>Retehnologizarea centralelor termice şi electrice  de termoficare</t>
  </si>
  <si>
    <t>42.02</t>
  </si>
  <si>
    <t xml:space="preserve">Subventii de la bugetul de stat </t>
  </si>
  <si>
    <t>00.18</t>
  </si>
  <si>
    <t xml:space="preserve">SUBVENTII DE LA ALTE NIVELE ALE ADMINISTRATIEI PUBLICE </t>
  </si>
  <si>
    <t>00.17</t>
  </si>
  <si>
    <t xml:space="preserve">IV.  SUBVENTII </t>
  </si>
  <si>
    <t>41.02.05.01</t>
  </si>
  <si>
    <r>
      <t>Disponibil rezervate pt.plati  ale unitatilor de invatamant special si a altor inst.publice de pe raza altor UAT decat pe raza careia isi desfasoara activitatea consiliul judetean-</t>
    </r>
    <r>
      <rPr>
        <b/>
        <i/>
        <sz val="10"/>
        <rFont val="Arial"/>
        <family val="2"/>
      </rPr>
      <t>sectiunea de  dezvoltare</t>
    </r>
  </si>
  <si>
    <t>ALTE OPERATIUNI FINANCIARE</t>
  </si>
  <si>
    <t>40.02.14</t>
  </si>
  <si>
    <t>Sume din  excedent BL pt. finantarea SD</t>
  </si>
  <si>
    <t>40.02.50</t>
  </si>
  <si>
    <t>Incasari din rambursarea altor împrumuturi acordate</t>
  </si>
  <si>
    <t>40.02.07</t>
  </si>
  <si>
    <t>Incasari din rambursarea microcreditelor  de la persoane fizice si juridice</t>
  </si>
  <si>
    <t>40.02.06</t>
  </si>
  <si>
    <t>Incasari din rambursarea imprumuturilor pentru infiintarea unor institutii si servicii publice de interes local sau a unor activitati finantate integral din venituri proprii</t>
  </si>
  <si>
    <t>40.02</t>
  </si>
  <si>
    <t>Incasari din rambursarea imprumuturilor acordate</t>
  </si>
  <si>
    <t>00.16</t>
  </si>
  <si>
    <t xml:space="preserve">III.  OPERATIUNI FINANCIARE </t>
  </si>
  <si>
    <t>39.02.07</t>
  </si>
  <si>
    <t>Venituri din vanzarea unor bunuri apartinand domeniului privat</t>
  </si>
  <si>
    <t>39.02.04</t>
  </si>
  <si>
    <t>Venituri din privatizare</t>
  </si>
  <si>
    <t>39.02.03</t>
  </si>
  <si>
    <t>Venituri din vanzarea locuintelor construite din fondurile statului</t>
  </si>
  <si>
    <t>-Compania de Apa Arad</t>
  </si>
  <si>
    <t>39.02.01</t>
  </si>
  <si>
    <t>Venituri din valorificarea unor bunuri ale institutiilor publice</t>
  </si>
  <si>
    <t>39.02</t>
  </si>
  <si>
    <t xml:space="preserve">Venituri din valorificarea unor bunuri </t>
  </si>
  <si>
    <t>00.15</t>
  </si>
  <si>
    <t xml:space="preserve">II. VENITURI DIN CAPITAL                </t>
  </si>
  <si>
    <t>37.02.50</t>
  </si>
  <si>
    <t>Alte transferuri voluntare</t>
  </si>
  <si>
    <t>37.02.04</t>
  </si>
  <si>
    <t>Varsaminte din sectiunea de functionare pentru SD</t>
  </si>
  <si>
    <t>37.02.01</t>
  </si>
  <si>
    <t>Donatii si sponsorizari</t>
  </si>
  <si>
    <t>37.02</t>
  </si>
  <si>
    <t xml:space="preserve">Transferuri voluntare,  altele decat subventiile </t>
  </si>
  <si>
    <t>36.02.50</t>
  </si>
  <si>
    <t>Alte venituri</t>
  </si>
  <si>
    <t>36.02.32.02</t>
  </si>
  <si>
    <t>Sume provenite din finantarea bugetară a anilor precedenți-SD</t>
  </si>
  <si>
    <t>36.02.05</t>
  </si>
  <si>
    <t xml:space="preserve">Varsaminte din veniturile si/sau disponibilitatile institutiilor publice </t>
  </si>
  <si>
    <t>36.02</t>
  </si>
  <si>
    <t xml:space="preserve">Diverse venituri </t>
  </si>
  <si>
    <t>35.02.50</t>
  </si>
  <si>
    <t>Alte amenzi, penalitati si confiscari</t>
  </si>
  <si>
    <t>35.02.03</t>
  </si>
  <si>
    <t>Incasari din valorificarea bunurilor confiscate, abandonate si alte sume constatate odata cu  confiscarea potrivit legii</t>
  </si>
  <si>
    <t>35.02.02</t>
  </si>
  <si>
    <t>Penalitati pentru nedepunerea sau depunerea cu intirziere a declaratiei de impozite si taxe</t>
  </si>
  <si>
    <t>35.02.01</t>
  </si>
  <si>
    <t>Venituri din amenzi si alte sanctiuni aplicate potrivit dispozitiilor legale</t>
  </si>
  <si>
    <t>35.02</t>
  </si>
  <si>
    <t>Amenzi, penalitati si confiscari</t>
  </si>
  <si>
    <t>34.02.50</t>
  </si>
  <si>
    <t>Alte venituri din taxe administrative, eliberari permise</t>
  </si>
  <si>
    <t>34.02.02</t>
  </si>
  <si>
    <t>Taxe extrajudiciare de timbru</t>
  </si>
  <si>
    <t>34.02</t>
  </si>
  <si>
    <t xml:space="preserve">Venituri din taxe administrative, eliberari permise </t>
  </si>
  <si>
    <t>33.02.50</t>
  </si>
  <si>
    <t>Alte venituri din prestari de servicii si alte activitati</t>
  </si>
  <si>
    <t>33.02.28</t>
  </si>
  <si>
    <t>Venituri din recuperarea cheltuielilor de judecata, imputatii si despagubiri</t>
  </si>
  <si>
    <t>33.02.27</t>
  </si>
  <si>
    <t>Contribuţia lunară a părinţilor pentru întreţinerea copiilor în unităţile de protecţie socială</t>
  </si>
  <si>
    <t>33.02.24</t>
  </si>
  <si>
    <t>Taxe din activitati cadastrale si agricultura</t>
  </si>
  <si>
    <t>33.02.12</t>
  </si>
  <si>
    <t>Contributia  persoanelor beneficiare ale  cantinelor de ajutor social</t>
  </si>
  <si>
    <t>33.02.10</t>
  </si>
  <si>
    <t>Contributia  parintilor sau sustinatorilor legali pentru intretinerea copiilor in crese</t>
  </si>
  <si>
    <t>33.02.08</t>
  </si>
  <si>
    <t>Venituri din prestari de servicii</t>
  </si>
  <si>
    <t>33.02</t>
  </si>
  <si>
    <t>Venituri din prestari de servicii si alte activitati</t>
  </si>
  <si>
    <t>00.14</t>
  </si>
  <si>
    <t xml:space="preserve">C2.  VANZARI DE BUNURI SI SERVICII </t>
  </si>
  <si>
    <t>31.02.03</t>
  </si>
  <si>
    <t>Alte venituri din dobanzi</t>
  </si>
  <si>
    <t>31.02</t>
  </si>
  <si>
    <t xml:space="preserve">Venituri din dobanzi </t>
  </si>
  <si>
    <t>30.02.50</t>
  </si>
  <si>
    <t>Alte venituri din proprietate</t>
  </si>
  <si>
    <t>30.02.08</t>
  </si>
  <si>
    <t xml:space="preserve">Venituri din dividende </t>
  </si>
  <si>
    <t>30.02.05</t>
  </si>
  <si>
    <t>Venituri din concesiuni si inchirieri</t>
  </si>
  <si>
    <t>30.02.03</t>
  </si>
  <si>
    <t>Restituiri de fonduri din finantarea bugetara a anilor precedenti</t>
  </si>
  <si>
    <t>30.02.01</t>
  </si>
  <si>
    <t>Varsaminte din profitul net al regiilor autonome de sub autoritatea consiliilor judetene si locale</t>
  </si>
  <si>
    <t>30.02</t>
  </si>
  <si>
    <t xml:space="preserve">Venituri din proprietate </t>
  </si>
  <si>
    <t>00.13</t>
  </si>
  <si>
    <t xml:space="preserve">C1.  VENITURI DIN PROPRIETATE </t>
  </si>
  <si>
    <t>00.12</t>
  </si>
  <si>
    <t xml:space="preserve">C.   VENITURI NEFISCALE </t>
  </si>
  <si>
    <t>18.02.50</t>
  </si>
  <si>
    <t>Alte impozite si taxe</t>
  </si>
  <si>
    <t>18.02</t>
  </si>
  <si>
    <t xml:space="preserve">Alte impozite si taxe fiscale </t>
  </si>
  <si>
    <t>00.11</t>
  </si>
  <si>
    <t>A6.  ALTE IMPOZITE SI  TAXE  FISCALE</t>
  </si>
  <si>
    <t>16.02.50</t>
  </si>
  <si>
    <t>Alte taxe pe utilizarea bunurilor, autorizarea utilizarii bunurilor sau pe desfasurare de activitati</t>
  </si>
  <si>
    <t>16.02.03</t>
  </si>
  <si>
    <t>Taxe si tarife pentru eliberarea de licente si autorizatii de functionare</t>
  </si>
  <si>
    <t>16.02.02</t>
  </si>
  <si>
    <t>Impozit pe mijloacele de transport</t>
  </si>
  <si>
    <t>16.02</t>
  </si>
  <si>
    <t>Taxe pe utilizarea bunurilor, autorizarea utilizarii bunurilor sau pe desfasurarea  de activitati</t>
  </si>
  <si>
    <t>15.02.50</t>
  </si>
  <si>
    <t>Alte taxe pe servicii specifice</t>
  </si>
  <si>
    <t>15.02.01</t>
  </si>
  <si>
    <t>Impozit pe spectacole</t>
  </si>
  <si>
    <t>15.02</t>
  </si>
  <si>
    <t xml:space="preserve">Taxe pe servicii specifice </t>
  </si>
  <si>
    <t>11.02.06</t>
  </si>
  <si>
    <t>Sume defalcate din taxa pe valoarea adăugată pentru echilibrarea bugetelor locale</t>
  </si>
  <si>
    <t>11.02.05</t>
  </si>
  <si>
    <t xml:space="preserve">Sume defalcate din taxa pe valoarea adăugată pentru drumuri </t>
  </si>
  <si>
    <t xml:space="preserve">                  -Zone libere</t>
  </si>
  <si>
    <t xml:space="preserve">                  -Sume din TVA pt.serv.public comunitar de evid. A persoanelor </t>
  </si>
  <si>
    <t xml:space="preserve">                  -Culte religioase</t>
  </si>
  <si>
    <t xml:space="preserve">                  -Centre de asistenta sociala a persoanelor cu handicap</t>
  </si>
  <si>
    <t xml:space="preserve">                  -Invatamant gimnazial </t>
  </si>
  <si>
    <t xml:space="preserve">                  -Invatamant special</t>
  </si>
  <si>
    <t>11.02.01</t>
  </si>
  <si>
    <t xml:space="preserve">Sume defalcate din taxa pe valoarea adăugată pentru finantarea cheltuielilor descentralizate la nivelul judetelor </t>
  </si>
  <si>
    <t>11.02</t>
  </si>
  <si>
    <t xml:space="preserve">Sume defalcate din TVA </t>
  </si>
  <si>
    <t>00.10</t>
  </si>
  <si>
    <t>A4.  IMPOZITE SI TAXE PE BUNURI SI SERVICII</t>
  </si>
  <si>
    <t>07.02.50</t>
  </si>
  <si>
    <t xml:space="preserve">Alte impozite si taxe  pe proprietate </t>
  </si>
  <si>
    <t>07.02.03</t>
  </si>
  <si>
    <t xml:space="preserve">Taxe judiciare de timbru, taxe de timbru pentru activitatea notariala si alte taxe de timbru  </t>
  </si>
  <si>
    <t>07.02.02</t>
  </si>
  <si>
    <t>Impozit pe terenuri</t>
  </si>
  <si>
    <t>07.02.01</t>
  </si>
  <si>
    <t>Impozit pe cladiri</t>
  </si>
  <si>
    <t>07.02</t>
  </si>
  <si>
    <t xml:space="preserve">Impozite si  taxe pe proprietate </t>
  </si>
  <si>
    <t>00.09</t>
  </si>
  <si>
    <t xml:space="preserve">A3.  IMPOZITE SI TAXE PE PROPRIETATE </t>
  </si>
  <si>
    <t>06.02.02</t>
  </si>
  <si>
    <t xml:space="preserve">Cote defalcate din impozitul pe salarii *)      </t>
  </si>
  <si>
    <t>06.02</t>
  </si>
  <si>
    <t xml:space="preserve">Impozit pe salarii  - total </t>
  </si>
  <si>
    <t>00.08</t>
  </si>
  <si>
    <t xml:space="preserve">A2.  IMPOZIT PE SALARII - TOTAL                            </t>
  </si>
  <si>
    <t>05.02.50</t>
  </si>
  <si>
    <t xml:space="preserve"> Alte impozite pe venit, profit si castiguri din capital </t>
  </si>
  <si>
    <t>05.02</t>
  </si>
  <si>
    <t xml:space="preserve">Alte impozite pe venit, profit si castiguri din capital </t>
  </si>
  <si>
    <t>00.07</t>
  </si>
  <si>
    <t xml:space="preserve">A1.3.  ALTE IMPOZITE  PE VENIT, PROFIT SI CASTIGURI DIN CAPITAL </t>
  </si>
  <si>
    <t>04.02.04</t>
  </si>
  <si>
    <t>Sume alocate din cote defalcate din impozitul pe venit  pentru echilibrarea bugetelor locale</t>
  </si>
  <si>
    <t>04.02.01</t>
  </si>
  <si>
    <t>Cote defalcate din impozitul pe venit</t>
  </si>
  <si>
    <t>04.02</t>
  </si>
  <si>
    <t xml:space="preserve">Cote si sume defalcate din impozitul pe venit </t>
  </si>
  <si>
    <t>00.06</t>
  </si>
  <si>
    <t xml:space="preserve">A1.2.  IMPOZIT PE VENIT, PROFIT,  SI CASTIGURI DIN CAPITAL DE LA PERSOANE FIZICE </t>
  </si>
  <si>
    <t>01.02.01</t>
  </si>
  <si>
    <t xml:space="preserve">Impozit pe profit de la agenţi economici </t>
  </si>
  <si>
    <t>01.02</t>
  </si>
  <si>
    <t xml:space="preserve">Impozit pe profit </t>
  </si>
  <si>
    <t>00.05</t>
  </si>
  <si>
    <t xml:space="preserve">A1.1.  IMPOZIT  PE VENIT, PROFIT SI CASTIGURI DIN CAPITAL DE LA PERSOANE JURIDICE </t>
  </si>
  <si>
    <t>00.04</t>
  </si>
  <si>
    <t xml:space="preserve">A1.  IMPOZIT  PE VENIT, PROFIT SI CASTIGURI DIN CAPITAL </t>
  </si>
  <si>
    <t>00.03</t>
  </si>
  <si>
    <t>A.  VENITURI FISCALE</t>
  </si>
  <si>
    <t>00.02</t>
  </si>
  <si>
    <t xml:space="preserve">I.  VENITURI CURENTE </t>
  </si>
  <si>
    <t xml:space="preserve">VENITURI PROPRII </t>
  </si>
  <si>
    <t>00.01</t>
  </si>
  <si>
    <t>TOTAL VENITURI SECTIUNEA DE DEZVOLTARE</t>
  </si>
  <si>
    <t>93.01.96</t>
  </si>
  <si>
    <t>92.01.96</t>
  </si>
  <si>
    <t>51.01</t>
  </si>
  <si>
    <t>51.01.05</t>
  </si>
  <si>
    <t>3.SC AEROPORTUL  SA</t>
  </si>
  <si>
    <t xml:space="preserve"> 2. S.C COMPANIA DE TRANSPORT PUBLIC ARAD  SA</t>
  </si>
  <si>
    <t>85.01.01</t>
  </si>
  <si>
    <t>TITLUL XIX PLATI EFECTUATE IN ANII PRECEDENTI SI RECUPERATE IN ANUL CURENT IN SECTIUNE DE FUNCTIONARE A BL</t>
  </si>
  <si>
    <t>81.02</t>
  </si>
  <si>
    <t>TITLUL XVII RAMBURSARI DE CREDITE (diferente de curs valutar) SF</t>
  </si>
  <si>
    <t xml:space="preserve">Sume din bugetul local </t>
  </si>
  <si>
    <t>Sume din TVA</t>
  </si>
  <si>
    <t>1.DRUMURI ȘI PODURI JUDEȚENE ARAD</t>
  </si>
  <si>
    <t xml:space="preserve">Credite de angajament </t>
  </si>
  <si>
    <t xml:space="preserve">CHELTUIELI DE CAPITAL </t>
  </si>
  <si>
    <t>TITLUL VIII PROIECTE</t>
  </si>
  <si>
    <t>51.01.</t>
  </si>
  <si>
    <t>83.02.03.07</t>
  </si>
  <si>
    <t>1.CAMERA AGRICOLĂ  A JUDEȚULUI ARAD</t>
  </si>
  <si>
    <t xml:space="preserve">   Cap.83.02 Agricultură,silvicultură , piscicultură si vanatoare </t>
  </si>
  <si>
    <t>55.01.65</t>
  </si>
  <si>
    <t>Sume reprezentand contributia UAT LA Fondul IID</t>
  </si>
  <si>
    <t>TITLUL VII   ALTE TRANSFERURI</t>
  </si>
  <si>
    <t>74.02</t>
  </si>
  <si>
    <t>70.02.05</t>
  </si>
  <si>
    <t>1 S.C COMPANIA DE APA S.A</t>
  </si>
  <si>
    <t>Transferuri pt.functionare</t>
  </si>
  <si>
    <t xml:space="preserve">3.UNITATEA DE ASISTENTĂ MEDICO-SOCIALĂ SĂVARȘIN </t>
  </si>
  <si>
    <t>68.02.06</t>
  </si>
  <si>
    <t>2.CJA -SERVICII SOCIALE</t>
  </si>
  <si>
    <t>TITLUL XI ALTE CHELTUIELI</t>
  </si>
  <si>
    <t>Transferuri pt.persoane cu handicap</t>
  </si>
  <si>
    <t>57.02.02</t>
  </si>
  <si>
    <t xml:space="preserve"> Ajutoare sociale in natura</t>
  </si>
  <si>
    <t>57.02.01</t>
  </si>
  <si>
    <t xml:space="preserve"> Ajutoare sociale in numerar</t>
  </si>
  <si>
    <t>TITLUL IX ASISTENTA SOCIALA</t>
  </si>
  <si>
    <t>57.02.04</t>
  </si>
  <si>
    <t xml:space="preserve">Tichete cadou acordate pentru cheltuieli sociale </t>
  </si>
  <si>
    <t>Bugetul local</t>
  </si>
  <si>
    <t>59</t>
  </si>
  <si>
    <t xml:space="preserve">   Cap.68.02 Asigurări si asistenţă socială</t>
  </si>
  <si>
    <t>59.15</t>
  </si>
  <si>
    <t xml:space="preserve">Contribuţii la salarizarea personalului neclerical </t>
  </si>
  <si>
    <t>59.12</t>
  </si>
  <si>
    <t xml:space="preserve">Susţinerea cultelor </t>
  </si>
  <si>
    <t xml:space="preserve">TITLUL XI  ALTE CHELTUIELI </t>
  </si>
  <si>
    <t>4.SERVICII RELIGIOASE</t>
  </si>
  <si>
    <t xml:space="preserve">transferuri  pt. functionare </t>
  </si>
  <si>
    <t>3.CENTRUL CULTURAL JUDEȚEAN ARAD</t>
  </si>
  <si>
    <t>2.COMPLEXUL MUZEAL ARAD</t>
  </si>
  <si>
    <t>1.BIBLIOTECA  JUDEȚEANĂ  A.D. XENOPOL ARAD</t>
  </si>
  <si>
    <t xml:space="preserve">2.Spitalul de Psihiatrie Căpalnaș </t>
  </si>
  <si>
    <t>1.Spitalul Clinic Județean de Urgență Arad</t>
  </si>
  <si>
    <t xml:space="preserve">  Cap.66.02 Sănătate </t>
  </si>
  <si>
    <t xml:space="preserve">TITLUL VI TRANSFERURI INTRE UNITATI ALE ADM.PUBLICE  </t>
  </si>
  <si>
    <t>7.Municipiul Arad    (Liceu Tehnologic "Iuliu Moldovan" Arad )</t>
  </si>
  <si>
    <t>6.Municipiul  Arad   (Școala Generală  "Avram Iancu "Arad )</t>
  </si>
  <si>
    <t xml:space="preserve">3.Centrul Județean de Resurse și de Asistenţă Educatională Arad </t>
  </si>
  <si>
    <t xml:space="preserve">         Asistenta sociala-ajutoare in natura </t>
  </si>
  <si>
    <t xml:space="preserve">         Asistenta sociala-ajutoare in numerar</t>
  </si>
  <si>
    <t>2.Centrul Școlar pentru Educaţie Incluzivă Arad</t>
  </si>
  <si>
    <t>1.Liceul Special "Sfanta Maria" Arad</t>
  </si>
  <si>
    <t xml:space="preserve">INVĂȚĂMÂNT PRIMAR </t>
  </si>
  <si>
    <t>INVĂȚĂMÂNT PARTICULAR SAU CONFESIONAL ACREDITAT</t>
  </si>
  <si>
    <t xml:space="preserve">  Cap.65.02 Invăţământ </t>
  </si>
  <si>
    <t xml:space="preserve">  Cap.60.02 Apărare nationala  (CMJ )</t>
  </si>
  <si>
    <t>Dobanzi aferente datoriei publice interne</t>
  </si>
  <si>
    <t>Comisioane si alte costuri aferente imprumutui intern</t>
  </si>
  <si>
    <t>55.02</t>
  </si>
  <si>
    <t xml:space="preserve">  Cap.55.02 Tranzacţia privind datoria publică si imprumuturi</t>
  </si>
  <si>
    <t>3.Serviciul Public Judeţean Salvamont-Salvaspeo Arad</t>
  </si>
  <si>
    <t>2.Direcția Județeană de Evidență a Persoanelor Arad</t>
  </si>
  <si>
    <t>1.Fond de rezerva bugetară la dispozția autorităţilor locale</t>
  </si>
  <si>
    <t>81.02.05</t>
  </si>
  <si>
    <t>Rambursari de credite aferente datoriei publice interne locale SF</t>
  </si>
  <si>
    <t>81.02.02</t>
  </si>
  <si>
    <t>Diferenta de curs aferente datoriei publice interne  SF</t>
  </si>
  <si>
    <t xml:space="preserve">  Cap.51.02 Autorităţi publice -CJA activitate proprie </t>
  </si>
  <si>
    <t>2.OPERATIUNI FINANCIARE</t>
  </si>
  <si>
    <t xml:space="preserve">TITLUL IX  ASISTENTA SOCIALA </t>
  </si>
  <si>
    <t xml:space="preserve">TITLUL III DOBANZI </t>
  </si>
  <si>
    <t xml:space="preserve">TITLUL II  BUNURI SI SERVICII </t>
  </si>
  <si>
    <t xml:space="preserve">TITLUL I  CHELTUIELI DE PERSONAL </t>
  </si>
  <si>
    <t>TOTAL CHELTUIELI DE FUNCȚIONARE</t>
  </si>
  <si>
    <t>Fondul Social European(cod 45.02.02.01+45.02.02.02)</t>
  </si>
  <si>
    <t>Fondul European de Dezvoltare Regionala      (cod 45.02.01.01+45.02.01.02)</t>
  </si>
  <si>
    <t>Sume primite de la UE in cadrul platilor efectuate (cod 45.02.01 la 45.02.16)</t>
  </si>
  <si>
    <t>43.02.20</t>
  </si>
  <si>
    <t>Alte subventii primite de adm.centrala pt.finantarea unor activitati</t>
  </si>
  <si>
    <t>42.02.41</t>
  </si>
  <si>
    <t>Subventii din bugetul de stat pentru finantarea sanatatii</t>
  </si>
  <si>
    <t>41.02.05</t>
  </si>
  <si>
    <r>
      <t>Disponibil rezervate pt.plati  ale unitatilor de invatamant special si a altor inst.publice de pe raza altor UAT decat pe raza careia isi desfasoara activitatea consiliul judetean-</t>
    </r>
    <r>
      <rPr>
        <b/>
        <sz val="10"/>
        <rFont val="Arial"/>
        <family val="2"/>
      </rPr>
      <t>sectiunea de functionare</t>
    </r>
  </si>
  <si>
    <t>41.02.</t>
  </si>
  <si>
    <t>37.02.03</t>
  </si>
  <si>
    <t>Varsaminte din sectiunea de functionare pt. finantarea SD</t>
  </si>
  <si>
    <t>36.02.32.03</t>
  </si>
  <si>
    <t>Sume provenite din finanțarea bugetară a anilor precedenți -SF</t>
  </si>
  <si>
    <t>33.02.13</t>
  </si>
  <si>
    <t>Contributia de intretinere a persoanelor asistate</t>
  </si>
  <si>
    <t xml:space="preserve">Aeroport </t>
  </si>
  <si>
    <t>Compania de Transport Public</t>
  </si>
  <si>
    <t>Compania de Apa</t>
  </si>
  <si>
    <t>Spitalul Clinic Judetean de Urgenta Arad-chirii 50%</t>
  </si>
  <si>
    <t>Compania de Apa-chirii 50%</t>
  </si>
  <si>
    <t>Venituri din chirii</t>
  </si>
  <si>
    <t>SC Bazar Jackson SRL -redeventa</t>
  </si>
  <si>
    <t>Compania de Apa-redeventa</t>
  </si>
  <si>
    <t>Aeroport -redeventa</t>
  </si>
  <si>
    <t>CTP-redeventa</t>
  </si>
  <si>
    <t>Venituri din redeventa</t>
  </si>
  <si>
    <t>Venituri din concesiuni si inchirieri ,din care:</t>
  </si>
  <si>
    <t>-R.A Administrația Zonei Libere  Curtici Arad</t>
  </si>
  <si>
    <t>C.   VENITURI NEFISCALE (0013+0014)</t>
  </si>
  <si>
    <t>-Impozit pe mijloacele de transport  detinute de persoane juridice</t>
  </si>
  <si>
    <t>- Impozit pe mijloacele de transport detinute de persoane fizice</t>
  </si>
  <si>
    <t>Impozit pe mijloacele de transport ,din care:</t>
  </si>
  <si>
    <t>Sume defalcate din taxa pe valoare adăugată pentru finanțarea invățământului particular sau confesional acreditat</t>
  </si>
  <si>
    <t>11.02.09</t>
  </si>
  <si>
    <t>Finanțarea drepturilor copiilor/elevilor/tinerilor cu cerințe educaționale speciale integrați in invîțamăntul de masa</t>
  </si>
  <si>
    <t>Hotarari judecatoresti pentru plata salariilor invatamantului special si a centrelor judetene de resurse si asistenta educationala</t>
  </si>
  <si>
    <t>Cheltuieli cu bunuri si servicii pentru intretinerea curenta a unitatilor de invatamant special</t>
  </si>
  <si>
    <t>-Invatamantul special si centrele judetene de resurse si asistenta educationala din care:N551</t>
  </si>
  <si>
    <t xml:space="preserve">x </t>
  </si>
  <si>
    <t>Plata contribuțiilor pntru personalul neclerical angajat în unitățile de cult din țară</t>
  </si>
  <si>
    <r>
      <t>-</t>
    </r>
    <r>
      <rPr>
        <sz val="10"/>
        <rFont val="Arial"/>
        <family val="2"/>
      </rPr>
      <t>Sustinerea centrelor  de asistenta sociala a persoanelor cu handicap</t>
    </r>
  </si>
  <si>
    <r>
      <t>-</t>
    </r>
    <r>
      <rPr>
        <sz val="10"/>
        <rFont val="Arial"/>
        <family val="2"/>
      </rPr>
      <t>Sustinerea sistemului de protectie a copilului</t>
    </r>
  </si>
  <si>
    <t xml:space="preserve">Sume defalcate din taxa pe valoarea adăugată pentru finantarea cheltuielilor descentralizate la nivelul judetelor  </t>
  </si>
  <si>
    <t xml:space="preserve">A1.3. ALTE IMPOZITE  PE VENIT, PROFIT SI CASTIGURI DIN CAPITAL </t>
  </si>
  <si>
    <t>18,5%</t>
  </si>
  <si>
    <t>11,25%</t>
  </si>
  <si>
    <t xml:space="preserve">A1.2. IMPOZIT PE VENIT, PROFIT,  SI CASTIGURI DIN CAPITAL DE LA PERSOANE FIZICE </t>
  </si>
  <si>
    <t xml:space="preserve">A1.1.IMPOZIT  PE VENIT, PROFIT SI CASTIGURI DIN CAPITAL DE LA PERSOANE JURIDICE </t>
  </si>
  <si>
    <t xml:space="preserve">A1.  IMPOZIT  PE VENIT, PROFIT s I CASTIGURI DIN CAPITAL </t>
  </si>
  <si>
    <t>VENITURI PROPRII (00.02-11.02-37.02+0016)</t>
  </si>
  <si>
    <t>TOTAL VENITURI  SECȚIUNEA DE FUNCȚIONARE</t>
  </si>
  <si>
    <t>Notă: prezentul buget nu este definitiv poate suporta modificări in urma dezabaterilor pe marginea acestuia.</t>
  </si>
  <si>
    <t>TITLU XVII. REZERVE, EXCEDENT / DEFICIT</t>
  </si>
  <si>
    <t xml:space="preserve">transferuri pt. functionare </t>
  </si>
  <si>
    <t>3.SC  AEROPORTUL  SA</t>
  </si>
  <si>
    <t xml:space="preserve">  TITLUL IV SUBVENTII </t>
  </si>
  <si>
    <t xml:space="preserve">2.S.C. COMPANIA DE TRANSPORT PUBLIC  S.A </t>
  </si>
  <si>
    <t>Ramb. imprumuturilor contractate pt.finantarea proiectelor  SD din UE</t>
  </si>
  <si>
    <t>Rambursari de credite interne   SF</t>
  </si>
  <si>
    <t>PNDL  OUG nr. 28/2013</t>
  </si>
  <si>
    <t>58</t>
  </si>
  <si>
    <t>TITLUL X PROIECTE CU FINANTARE DIN FONDURI EXTERNE NERAM(FEN)POSTADERARE</t>
  </si>
  <si>
    <t>TITLUL VIII PROIECTE CU FINANTARE DIN FONDURI EXTERNE NERAMB(FEN)POSTADERARE</t>
  </si>
  <si>
    <t>1.DRUMURI SI PODURI JUDEȚENE ARAD</t>
  </si>
  <si>
    <t>TITLUL VIII PROIECTE CU FINANTARE DIN FONDURI EXTERNE NERAM(FEN)POSTADERARE</t>
  </si>
  <si>
    <t>transferuri pt. dezvoltare</t>
  </si>
  <si>
    <t>01</t>
  </si>
  <si>
    <t xml:space="preserve">1.CHELTUIELI CURENTE </t>
  </si>
  <si>
    <t xml:space="preserve">   Cap.74.02 Protecţia mediului- Compania de apa Arad   </t>
  </si>
  <si>
    <t>55.01.18</t>
  </si>
  <si>
    <t>Alte transferuri curente</t>
  </si>
  <si>
    <t>1.S.C COMPANIA DE APA  S.A ARAD</t>
  </si>
  <si>
    <t xml:space="preserve">   Cap.70.02 Locuinţe, servicii și dezvoltare publică</t>
  </si>
  <si>
    <t>68.02.12</t>
  </si>
  <si>
    <t>2.CJA - Servicii sociale</t>
  </si>
  <si>
    <t>68.02.05.02</t>
  </si>
  <si>
    <t>SURSE UE+ BS</t>
  </si>
  <si>
    <t>TITLUL VIII PROIECTE CU FINANTARE DIN FEN POSTADERARE 2014-2020</t>
  </si>
  <si>
    <t xml:space="preserve">   Cap.68.02 Asigurări și asistentă socială</t>
  </si>
  <si>
    <t xml:space="preserve">TITLUL XI   ALTE CHELTUIELI </t>
  </si>
  <si>
    <t>67.02.06</t>
  </si>
  <si>
    <t>-investitii</t>
  </si>
  <si>
    <t>-proiecte</t>
  </si>
  <si>
    <t>67.02.03.30</t>
  </si>
  <si>
    <t>67.02.03.03</t>
  </si>
  <si>
    <t>67.02.03.02</t>
  </si>
  <si>
    <t>1.BIBLIOTECA  "A.D.XENOPOL " JUDEȚEANA  ARAD</t>
  </si>
  <si>
    <t xml:space="preserve">TITLUL XVII  RAMBURSARI DE CREDITE </t>
  </si>
  <si>
    <t>transferuri  pt. dezvoltare</t>
  </si>
  <si>
    <t xml:space="preserve">2.Spitalul de  Psihiatrie Căpâlnaş </t>
  </si>
  <si>
    <t>VARSAMINTE BS+bl</t>
  </si>
  <si>
    <t>1.Spitalul Clinic Judeţean de Urgentă Arad</t>
  </si>
  <si>
    <t>51.01.60</t>
  </si>
  <si>
    <t>transferuri pt. functionare (chelt.pers)</t>
  </si>
  <si>
    <t>7.Municipiul Arad  ( Liceul Tehnologic "Iuliu Moldovan" Arad )</t>
  </si>
  <si>
    <t>transferuri pt. functionare (chelt.pers.)</t>
  </si>
  <si>
    <t>6.Municipil Arad  ( Școală Gimnazială "Avram Iancu " Arad )</t>
  </si>
  <si>
    <t>alte cheltuieli</t>
  </si>
  <si>
    <t>asist.sociala</t>
  </si>
  <si>
    <t>bunuri si servicii</t>
  </si>
  <si>
    <t>chelt.personal</t>
  </si>
  <si>
    <t>transferuri pt. functionare  din care :</t>
  </si>
  <si>
    <t>4.Primăria Orașului Ineu  ( Liceul Tehnologic ''Sava Brancovici "Ineu )</t>
  </si>
  <si>
    <t>3.Centrul Judeţean de Resurse și de Asistență Educaţională Arad</t>
  </si>
  <si>
    <t>Alte cheltuieli</t>
  </si>
  <si>
    <t>1.Liceul Special  "Sfânta Maria" Arad</t>
  </si>
  <si>
    <t xml:space="preserve">         Asistenta sociala-tichete cadou </t>
  </si>
  <si>
    <t>65.02.07.04</t>
  </si>
  <si>
    <t>TITLUL IX ASISTENTĂ SOCIALĂ</t>
  </si>
  <si>
    <t>65.02.03.02</t>
  </si>
  <si>
    <t xml:space="preserve">  Cap.61.02 Ordine publică si sigurantă națională -Protecţie civilă</t>
  </si>
  <si>
    <t xml:space="preserve">  Cap.60.02 Apărare naţională</t>
  </si>
  <si>
    <t>Comisioane si alte costuri aferente imprumutului intern</t>
  </si>
  <si>
    <t xml:space="preserve">  Cap.55.02 Tranzacţia privind datoria publică și imprumuturi</t>
  </si>
  <si>
    <t>1.Fond de rezervă bugetară la dispoziţia autorităţilor locale</t>
  </si>
  <si>
    <t xml:space="preserve">   1.CHELTUIELI CURENTE</t>
  </si>
  <si>
    <t>Rambursari de credite aferente datoriei publice interne locale SF-BL</t>
  </si>
  <si>
    <t>PNDL</t>
  </si>
  <si>
    <t>transferuri pentru secțiunea de dezvoltare -proiecte FEN pt alte UAT</t>
  </si>
  <si>
    <t xml:space="preserve">1. CHELTUIELI CURENTE </t>
  </si>
  <si>
    <t xml:space="preserve">TITLUL XIX  REZERVE, EXCEDENT/DEFICIT </t>
  </si>
  <si>
    <t>Rambursarea imprumuturilor contractate pt.finant. Proiectelorcu finantare UE- SD</t>
  </si>
  <si>
    <t>Rambursari de credite aferente datoriei publice locale  SF</t>
  </si>
  <si>
    <t>TITLUL XVII RAMBURSARI DE CREDITE  INTERNE</t>
  </si>
  <si>
    <t>3.OPERATIUNI FINANCIARE</t>
  </si>
  <si>
    <t>TITLUL VIII PROIECTE CU FINAN DIN FOND EXTERNE NERAM (FEN) POSTADERARE</t>
  </si>
  <si>
    <t xml:space="preserve">TITLUL VI TRANSFERURI INTRE UNITATI ALE ADM. PUBLICE </t>
  </si>
  <si>
    <t xml:space="preserve">   TOTAL CHELTUIELI </t>
  </si>
  <si>
    <t>Programe comunit.finantate in perioada  2007-2013</t>
  </si>
  <si>
    <t>Fondul European de Dezvoltare Regionala  (cod 45.02.01.01+45.02.01.02)</t>
  </si>
  <si>
    <t>Sume primite de la UE in cadrul platilor efectuate   (cod 48) aferente cadrului financiar 2014-2020</t>
  </si>
  <si>
    <t>Sume primite de la UE in cadrul platilor efectuate   (cod 45.02.01 la 45.02.16)</t>
  </si>
  <si>
    <t>Alte subventii primite de administratia centr.pt.finantarea unor activitati</t>
  </si>
  <si>
    <t xml:space="preserve">Subvenții de la alte administrații </t>
  </si>
  <si>
    <t>Subventii de la bugetul de stat catre bugetele locale necesare sustinerii derularii proiectelor finantate din FEN postaderare aferente perioadei de programare 2014-2020</t>
  </si>
  <si>
    <t>Sume alocate aferente corecțiilor financiare</t>
  </si>
  <si>
    <t>42.02.28</t>
  </si>
  <si>
    <t>Subvenții primite din Fondul de Interventie</t>
  </si>
  <si>
    <t>42.02.51.01</t>
  </si>
  <si>
    <t>Subvenții primite de la BS pentru finanțarea unor programe de interes național destinate SF</t>
  </si>
  <si>
    <t xml:space="preserve">Subvenții de la bugetul de stat </t>
  </si>
  <si>
    <t xml:space="preserve">SUBVENȚII DE LA ALTE NIVELE ALE ADMINISTRATIEI PUBLICE </t>
  </si>
  <si>
    <t xml:space="preserve">IV.  SUBVENȚII </t>
  </si>
  <si>
    <t>41.02.05.02</t>
  </si>
  <si>
    <r>
      <t>Disponibil rezervate pt.plati  ale unitatilor de invatamant special si a altor inst.publice de pe raza altor UAT decat pe raza careia isi desfasoara activitatea consiliul judetean -</t>
    </r>
    <r>
      <rPr>
        <b/>
        <i/>
        <sz val="10"/>
        <rFont val="Arial"/>
        <family val="2"/>
      </rPr>
      <t>sectiunea de dezvoltare</t>
    </r>
  </si>
  <si>
    <r>
      <t>Disponibil rezervate pt.plati  ale unitatilor de invatamant special si a altor inst.publice de pe raza altor UAT decat pe raza careia isi desfasoara activitatea consiliul judetean-</t>
    </r>
    <r>
      <rPr>
        <b/>
        <i/>
        <sz val="10"/>
        <rFont val="Arial"/>
        <family val="2"/>
      </rPr>
      <t>sectiunea de functionare</t>
    </r>
  </si>
  <si>
    <t>ALTE OPERAȚIUNI FINANCIARE</t>
  </si>
  <si>
    <t>Sume din excedentul BL utilizate pentru finantarea cheltuielior SD</t>
  </si>
  <si>
    <t>Incasări din rambursarea microcreditelor  de la persoane fizice si juridice</t>
  </si>
  <si>
    <t>Incasări din rambursarea imprumuturilor pentru infiintarea unor institutii si servicii publice de interes local sau a unor activitati finantate integral din venituri proprii</t>
  </si>
  <si>
    <t>-Compania de Apa</t>
  </si>
  <si>
    <t xml:space="preserve">Transferuri voluntare,  altele decât subvențiile </t>
  </si>
  <si>
    <t>Alte venituri din care :</t>
  </si>
  <si>
    <t>36.02.03.02</t>
  </si>
  <si>
    <t>Sume provenite din finanțarea bugetară a anilor precedenți -SD</t>
  </si>
  <si>
    <t>36.02.03.03</t>
  </si>
  <si>
    <t>36.02.32</t>
  </si>
  <si>
    <t>Sume provenite din finanțarea bugetară a anilor precedenți</t>
  </si>
  <si>
    <t>Alte amenzi, penalitați și confiscări</t>
  </si>
  <si>
    <t>Amenzi, penalităti și confiscări</t>
  </si>
  <si>
    <t xml:space="preserve">Venituri din taxe administrative, eliberări permise </t>
  </si>
  <si>
    <t>Venituri din prestari de servicii și alte activități</t>
  </si>
  <si>
    <t>Alte venituri din dobânzi</t>
  </si>
  <si>
    <t xml:space="preserve">Venituri din dobânzi </t>
  </si>
  <si>
    <t>Compania de Apa -chirii 50%</t>
  </si>
  <si>
    <t>Chirii CJA - Activitate proprie</t>
  </si>
  <si>
    <t>SIGD</t>
  </si>
  <si>
    <t>Compania de Apa SA-redeventa</t>
  </si>
  <si>
    <t>Venituri din concesiuni  si inchirieri , din care:</t>
  </si>
  <si>
    <t>-R.A Administratia Zonei Libere  Curtici Arad</t>
  </si>
  <si>
    <t>Impozit pe mijloacele de transport  detinute de persoane juridice</t>
  </si>
  <si>
    <t>Impozit pe mijloacele de transport detinute de persoane fizice</t>
  </si>
  <si>
    <t>Impozit pe mijloacele de transport,din care:</t>
  </si>
  <si>
    <t>Programul pentru Scoli a României</t>
  </si>
  <si>
    <t>Drepturi</t>
  </si>
  <si>
    <t>-Cheltuieli cu bunuri si servicii pentru intretinerea curenta a unitatilor de invatamant special si centrele judetene de resurse si asistenta educationala</t>
  </si>
  <si>
    <t>Invatamantul special si centrele judetene de resurse si asistenta educationala din care:</t>
  </si>
  <si>
    <t>Plata contribuțiilor pentru personalul neclerical angajat în unitățile de cult din țară</t>
  </si>
  <si>
    <t>Sustinerea centrelor  de asistenta sociala a persoanelor cu handicap</t>
  </si>
  <si>
    <t>Sustinerea sistemului de protectie a copilului</t>
  </si>
  <si>
    <t>A4.IMPOZITE SI TAXE PE BUNURI SI SERVICII (11.02+12.02+15.02+16.02)</t>
  </si>
  <si>
    <t xml:space="preserve">A1.3.ALTE IMPOZITE  PE VENIT, PROFIT SI CASTIGURI DIN CAPITAL </t>
  </si>
  <si>
    <t>Compania de Apa Arad</t>
  </si>
  <si>
    <t>A.  VENITURI FISCALE   (00.04+00.09+00.10+00.11)</t>
  </si>
  <si>
    <t>I.  VENITURI CURENTE   (00.03+00.12)</t>
  </si>
  <si>
    <t>VENITURI PROPRII     (00.02-11.02-37.02+00.15+00.16)</t>
  </si>
  <si>
    <t>TOTAL VENITURI  (00.02+00.15+00.16+00.17+45.02)</t>
  </si>
  <si>
    <t>Cod indicator</t>
  </si>
  <si>
    <t xml:space="preserve">                          DENUMIREA INDICATORILOR </t>
  </si>
  <si>
    <t>JUDEȚUL ARAD</t>
  </si>
  <si>
    <t>SERVICIUL BUGET</t>
  </si>
  <si>
    <t>Subventii de la BS catre BL pentru finantarea aparaturii medicale si echipamentelor de telecomunicații în urgență în sănătate</t>
  </si>
  <si>
    <t>Școala Specială Raza de Soare</t>
  </si>
  <si>
    <t>Despăgubiri civile</t>
  </si>
  <si>
    <t xml:space="preserve">   Cap.74.02 Protectia Mediului</t>
  </si>
  <si>
    <t>SF</t>
  </si>
  <si>
    <t>SD</t>
  </si>
  <si>
    <t>Plăți efectuate în anii precedenți și recuperați în an curent</t>
  </si>
  <si>
    <t>85</t>
  </si>
  <si>
    <t>Drepturi copii cu CES</t>
  </si>
  <si>
    <t>55</t>
  </si>
  <si>
    <t>Drepturi CES</t>
  </si>
  <si>
    <t>salarii</t>
  </si>
  <si>
    <t>ch materaile</t>
  </si>
  <si>
    <t>Standard</t>
  </si>
  <si>
    <t xml:space="preserve"> </t>
  </si>
  <si>
    <t>TOTAL</t>
  </si>
  <si>
    <t xml:space="preserve">   Cap.80.02 Acțiuni generale economice, generale si de munca</t>
  </si>
  <si>
    <t>55.01.13</t>
  </si>
  <si>
    <t xml:space="preserve">        Alte cheltuieli</t>
  </si>
  <si>
    <t>SINTEZA</t>
  </si>
  <si>
    <t>Incasari/     Deschideri credite</t>
  </si>
  <si>
    <t>Incasari/    Plati</t>
  </si>
  <si>
    <t>Grad de realizare %</t>
  </si>
  <si>
    <t>Programe de dezvoltare</t>
  </si>
  <si>
    <t xml:space="preserve">Sume defalcate din taxa pe valoarea adăugată pentru echilibrare </t>
  </si>
  <si>
    <t>42.02.82</t>
  </si>
  <si>
    <t>Sume alocate pentru stimulentul de risc</t>
  </si>
  <si>
    <t>59.17</t>
  </si>
  <si>
    <t>TITLUL VII   ALTE TRANSFERURI-invatamant particular</t>
  </si>
  <si>
    <t>Sume din fondul de interventie</t>
  </si>
  <si>
    <t>42.02.35</t>
  </si>
  <si>
    <t>Subventii de la bugetul de stat pentru finantarea unitatilor de asistenta medico-sociala</t>
  </si>
  <si>
    <t>Subvenții din bugetul de stat  pentru finantarea unitatilor de asistenta medico-sociale</t>
  </si>
  <si>
    <t>2.COMPLEXUL MUZEAL  ARAD</t>
  </si>
  <si>
    <t xml:space="preserve">  TITLUL II BUNURI SI SEVICII</t>
  </si>
  <si>
    <t>20.01.07.</t>
  </si>
  <si>
    <t>50% din transportul elevilor</t>
  </si>
  <si>
    <t>TITLUL XIX PLATI EFECTUATE IN ANII PRECEDENTI SI RECUPERATE IN ANUL CURENT IN SECTIUNE DE DEZVOLTARE  A BL</t>
  </si>
  <si>
    <t>85.02</t>
  </si>
  <si>
    <t>Invatamant - proiect</t>
  </si>
  <si>
    <t>Scoli proiect</t>
  </si>
  <si>
    <t>50% transport elevi</t>
  </si>
  <si>
    <t>20.01.30</t>
  </si>
  <si>
    <t>36.02.47</t>
  </si>
  <si>
    <t>Alte venituri pentru finanțarea secțiunii de dezvoltare</t>
  </si>
  <si>
    <t>Sume din excedentul anului precedent pentru acoperirea golurilor temporare de casǎ ale secţiunii de dezvoltare</t>
  </si>
  <si>
    <t>40.02.13</t>
  </si>
  <si>
    <t>Buget aprobat 2021</t>
  </si>
  <si>
    <t>51.02.29</t>
  </si>
  <si>
    <t>81.04</t>
  </si>
  <si>
    <t>transferuri pt. cheltuieli de exploatare-SF</t>
  </si>
  <si>
    <t>transferuri pt. cheltuieli neeconomice- SF</t>
  </si>
  <si>
    <t>Apele Romane-redeventa miniera</t>
  </si>
  <si>
    <t>30.02.05.30</t>
  </si>
  <si>
    <t>Redevente miniere</t>
  </si>
  <si>
    <t>Redevente miniere(Apele Romane)</t>
  </si>
  <si>
    <t>30.02.05.01</t>
  </si>
  <si>
    <t>33.02.26</t>
  </si>
  <si>
    <t>Venituri din  despagubiri</t>
  </si>
  <si>
    <t>privind executia bugetului local de venituri și cheltuieli al Judetului Arad la 30.06.2021</t>
  </si>
  <si>
    <t>Subvenții pentru realizarea activitatii de colectare,transport,depozitare si neutralizare a deseurilor de origine animala</t>
  </si>
  <si>
    <t>42.02.73</t>
  </si>
  <si>
    <t>Prevederi bugetare     Trim II 2021</t>
  </si>
  <si>
    <t>6=5/3*100</t>
  </si>
  <si>
    <t xml:space="preserve">                                                                                                         Anexa nr. 3 la Hotărârea Consiliului Județean Arad nr. 241/30.07.2021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</si>
</sst>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"/>
  </numFmts>
  <fonts count="51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3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indexed="53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9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  <charset val="238"/>
    </font>
    <font>
      <b/>
      <u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i/>
      <u/>
      <sz val="10"/>
      <color indexed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4"/>
      <name val="Arial"/>
      <family val="2"/>
    </font>
    <font>
      <b/>
      <i/>
      <sz val="10"/>
      <color theme="4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-T&amp;M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0" fillId="0" borderId="0"/>
  </cellStyleXfs>
  <cellXfs count="1159">
    <xf numFmtId="0" fontId="0" fillId="0" borderId="0" xfId="0"/>
    <xf numFmtId="0" fontId="2" fillId="0" borderId="0" xfId="1" applyFont="1"/>
    <xf numFmtId="0" fontId="2" fillId="2" borderId="0" xfId="1" applyFont="1" applyFill="1"/>
    <xf numFmtId="3" fontId="2" fillId="2" borderId="0" xfId="1" applyNumberFormat="1" applyFont="1" applyFill="1"/>
    <xf numFmtId="0" fontId="2" fillId="0" borderId="0" xfId="1" applyFont="1" applyAlignment="1">
      <alignment horizontal="left" vertical="center"/>
    </xf>
    <xf numFmtId="3" fontId="2" fillId="0" borderId="0" xfId="1" applyNumberFormat="1" applyFont="1" applyAlignment="1">
      <alignment horizontal="left" vertical="center"/>
    </xf>
    <xf numFmtId="4" fontId="2" fillId="3" borderId="2" xfId="1" applyNumberFormat="1" applyFont="1" applyFill="1" applyBorder="1"/>
    <xf numFmtId="49" fontId="3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left" indent="3"/>
    </xf>
    <xf numFmtId="0" fontId="2" fillId="3" borderId="3" xfId="1" applyFont="1" applyFill="1" applyBorder="1" applyAlignment="1">
      <alignment horizontal="left" indent="3"/>
    </xf>
    <xf numFmtId="4" fontId="2" fillId="3" borderId="4" xfId="1" applyNumberFormat="1" applyFont="1" applyFill="1" applyBorder="1" applyAlignment="1">
      <alignment horizontal="right"/>
    </xf>
    <xf numFmtId="49" fontId="3" fillId="3" borderId="4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left" indent="3"/>
    </xf>
    <xf numFmtId="0" fontId="2" fillId="3" borderId="5" xfId="1" applyFont="1" applyFill="1" applyBorder="1" applyAlignment="1">
      <alignment horizontal="left" indent="3"/>
    </xf>
    <xf numFmtId="4" fontId="3" fillId="3" borderId="4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3" borderId="4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right"/>
    </xf>
    <xf numFmtId="3" fontId="4" fillId="3" borderId="4" xfId="1" applyNumberFormat="1" applyFont="1" applyFill="1" applyBorder="1" applyAlignment="1">
      <alignment horizontal="center"/>
    </xf>
    <xf numFmtId="3" fontId="5" fillId="3" borderId="4" xfId="1" applyNumberFormat="1" applyFont="1" applyFill="1" applyBorder="1" applyAlignment="1">
      <alignment horizontal="right"/>
    </xf>
    <xf numFmtId="3" fontId="5" fillId="3" borderId="4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top"/>
    </xf>
    <xf numFmtId="3" fontId="4" fillId="3" borderId="4" xfId="1" applyNumberFormat="1" applyFont="1" applyFill="1" applyBorder="1" applyAlignment="1">
      <alignment horizontal="right" vertical="center"/>
    </xf>
    <xf numFmtId="3" fontId="4" fillId="3" borderId="4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2" fillId="3" borderId="4" xfId="1" quotePrefix="1" applyNumberFormat="1" applyFont="1" applyFill="1" applyBorder="1" applyAlignment="1">
      <alignment horizontal="center"/>
    </xf>
    <xf numFmtId="0" fontId="2" fillId="3" borderId="5" xfId="1" applyFont="1" applyFill="1" applyBorder="1"/>
    <xf numFmtId="3" fontId="2" fillId="3" borderId="4" xfId="1" applyNumberFormat="1" applyFont="1" applyFill="1" applyBorder="1" applyAlignment="1">
      <alignment horizontal="right"/>
    </xf>
    <xf numFmtId="3" fontId="3" fillId="3" borderId="4" xfId="1" quotePrefix="1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left" vertical="top"/>
    </xf>
    <xf numFmtId="0" fontId="8" fillId="3" borderId="5" xfId="0" applyFont="1" applyFill="1" applyBorder="1"/>
    <xf numFmtId="0" fontId="7" fillId="3" borderId="4" xfId="1" applyFont="1" applyFill="1" applyBorder="1"/>
    <xf numFmtId="0" fontId="2" fillId="3" borderId="4" xfId="1" applyFont="1" applyFill="1" applyBorder="1"/>
    <xf numFmtId="3" fontId="9" fillId="3" borderId="4" xfId="1" applyNumberFormat="1" applyFont="1" applyFill="1" applyBorder="1"/>
    <xf numFmtId="3" fontId="10" fillId="3" borderId="4" xfId="1" applyNumberFormat="1" applyFont="1" applyFill="1" applyBorder="1" applyAlignment="1">
      <alignment horizontal="center"/>
    </xf>
    <xf numFmtId="0" fontId="11" fillId="3" borderId="6" xfId="1" applyFont="1" applyFill="1" applyBorder="1"/>
    <xf numFmtId="0" fontId="2" fillId="3" borderId="7" xfId="1" applyFont="1" applyFill="1" applyBorder="1"/>
    <xf numFmtId="0" fontId="11" fillId="3" borderId="4" xfId="1" applyFont="1" applyFill="1" applyBorder="1"/>
    <xf numFmtId="3" fontId="10" fillId="3" borderId="4" xfId="1" applyNumberFormat="1" applyFont="1" applyFill="1" applyBorder="1"/>
    <xf numFmtId="0" fontId="12" fillId="3" borderId="4" xfId="1" applyFont="1" applyFill="1" applyBorder="1"/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3" fontId="4" fillId="3" borderId="4" xfId="1" applyNumberFormat="1" applyFont="1" applyFill="1" applyBorder="1" applyAlignment="1">
      <alignment vertical="center"/>
    </xf>
    <xf numFmtId="0" fontId="2" fillId="3" borderId="4" xfId="0" applyFont="1" applyFill="1" applyBorder="1"/>
    <xf numFmtId="0" fontId="2" fillId="3" borderId="5" xfId="0" applyFont="1" applyFill="1" applyBorder="1"/>
    <xf numFmtId="0" fontId="5" fillId="3" borderId="4" xfId="0" applyFont="1" applyFill="1" applyBorder="1" applyAlignment="1">
      <alignment horizontal="center" wrapText="1"/>
    </xf>
    <xf numFmtId="3" fontId="13" fillId="3" borderId="4" xfId="1" applyNumberFormat="1" applyFont="1" applyFill="1" applyBorder="1"/>
    <xf numFmtId="0" fontId="6" fillId="3" borderId="5" xfId="0" applyFont="1" applyFill="1" applyBorder="1"/>
    <xf numFmtId="0" fontId="6" fillId="3" borderId="4" xfId="0" applyFont="1" applyFill="1" applyBorder="1" applyAlignment="1">
      <alignment vertical="top" wrapText="1"/>
    </xf>
    <xf numFmtId="3" fontId="4" fillId="3" borderId="4" xfId="1" applyNumberFormat="1" applyFont="1" applyFill="1" applyBorder="1"/>
    <xf numFmtId="3" fontId="4" fillId="3" borderId="4" xfId="1" quotePrefix="1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left" vertical="top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3" fontId="2" fillId="3" borderId="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left"/>
    </xf>
    <xf numFmtId="3" fontId="15" fillId="3" borderId="4" xfId="1" applyNumberFormat="1" applyFont="1" applyFill="1" applyBorder="1"/>
    <xf numFmtId="3" fontId="16" fillId="3" borderId="4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vertical="top" wrapText="1"/>
    </xf>
    <xf numFmtId="0" fontId="14" fillId="3" borderId="4" xfId="1" applyFont="1" applyFill="1" applyBorder="1"/>
    <xf numFmtId="3" fontId="2" fillId="4" borderId="4" xfId="1" applyNumberFormat="1" applyFont="1" applyFill="1" applyBorder="1"/>
    <xf numFmtId="3" fontId="2" fillId="4" borderId="4" xfId="1" applyNumberFormat="1" applyFont="1" applyFill="1" applyBorder="1" applyAlignment="1">
      <alignment horizontal="center"/>
    </xf>
    <xf numFmtId="0" fontId="2" fillId="4" borderId="6" xfId="1" applyFont="1" applyFill="1" applyBorder="1" applyAlignment="1">
      <alignment horizontal="left" indent="3"/>
    </xf>
    <xf numFmtId="49" fontId="7" fillId="4" borderId="4" xfId="0" applyNumberFormat="1" applyFont="1" applyFill="1" applyBorder="1" applyAlignment="1">
      <alignment horizontal="left" vertical="top"/>
    </xf>
    <xf numFmtId="0" fontId="2" fillId="4" borderId="8" xfId="0" applyFont="1" applyFill="1" applyBorder="1"/>
    <xf numFmtId="0" fontId="2" fillId="4" borderId="4" xfId="1" applyFont="1" applyFill="1" applyBorder="1" applyAlignment="1">
      <alignment horizontal="left" indent="3"/>
    </xf>
    <xf numFmtId="0" fontId="7" fillId="4" borderId="4" xfId="1" applyFont="1" applyFill="1" applyBorder="1"/>
    <xf numFmtId="0" fontId="2" fillId="4" borderId="5" xfId="0" applyFont="1" applyFill="1" applyBorder="1"/>
    <xf numFmtId="0" fontId="2" fillId="3" borderId="4" xfId="1" applyFont="1" applyFill="1" applyBorder="1" applyAlignment="1">
      <alignment horizontal="left" indent="4"/>
    </xf>
    <xf numFmtId="3" fontId="2" fillId="3" borderId="4" xfId="1" applyNumberFormat="1" applyFont="1" applyFill="1" applyBorder="1" applyAlignment="1">
      <alignment horizontal="left"/>
    </xf>
    <xf numFmtId="3" fontId="17" fillId="3" borderId="4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/>
    </xf>
    <xf numFmtId="3" fontId="3" fillId="3" borderId="4" xfId="1" applyNumberFormat="1" applyFont="1" applyFill="1" applyBorder="1" applyAlignment="1">
      <alignment horizontal="right"/>
    </xf>
    <xf numFmtId="0" fontId="2" fillId="3" borderId="6" xfId="1" applyFont="1" applyFill="1" applyBorder="1" applyAlignment="1">
      <alignment horizontal="left" indent="3"/>
    </xf>
    <xf numFmtId="0" fontId="7" fillId="3" borderId="7" xfId="1" applyFont="1" applyFill="1" applyBorder="1"/>
    <xf numFmtId="0" fontId="2" fillId="3" borderId="8" xfId="0" applyFont="1" applyFill="1" applyBorder="1"/>
    <xf numFmtId="3" fontId="13" fillId="3" borderId="4" xfId="1" applyNumberFormat="1" applyFont="1" applyFill="1" applyBorder="1" applyAlignment="1">
      <alignment horizontal="right"/>
    </xf>
    <xf numFmtId="3" fontId="2" fillId="3" borderId="4" xfId="1" quotePrefix="1" applyNumberFormat="1" applyFont="1" applyFill="1" applyBorder="1"/>
    <xf numFmtId="3" fontId="5" fillId="3" borderId="4" xfId="1" quotePrefix="1" applyNumberFormat="1" applyFont="1" applyFill="1" applyBorder="1" applyAlignment="1">
      <alignment horizontal="right"/>
    </xf>
    <xf numFmtId="3" fontId="3" fillId="3" borderId="4" xfId="1" applyNumberFormat="1" applyFont="1" applyFill="1" applyBorder="1"/>
    <xf numFmtId="3" fontId="19" fillId="3" borderId="4" xfId="1" applyNumberFormat="1" applyFont="1" applyFill="1" applyBorder="1" applyAlignment="1">
      <alignment horizontal="right"/>
    </xf>
    <xf numFmtId="0" fontId="19" fillId="3" borderId="4" xfId="0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 vertical="top"/>
    </xf>
    <xf numFmtId="3" fontId="7" fillId="3" borderId="4" xfId="1" applyNumberFormat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/>
    </xf>
    <xf numFmtId="4" fontId="2" fillId="3" borderId="4" xfId="1" applyNumberFormat="1" applyFont="1" applyFill="1" applyBorder="1"/>
    <xf numFmtId="3" fontId="11" fillId="3" borderId="4" xfId="1" applyNumberFormat="1" applyFont="1" applyFill="1" applyBorder="1" applyAlignment="1">
      <alignment horizontal="right"/>
    </xf>
    <xf numFmtId="3" fontId="9" fillId="3" borderId="4" xfId="1" applyNumberFormat="1" applyFont="1" applyFill="1" applyBorder="1" applyAlignment="1">
      <alignment horizontal="center"/>
    </xf>
    <xf numFmtId="4" fontId="5" fillId="3" borderId="4" xfId="1" applyNumberFormat="1" applyFont="1" applyFill="1" applyBorder="1" applyAlignment="1">
      <alignment horizontal="right"/>
    </xf>
    <xf numFmtId="49" fontId="4" fillId="3" borderId="4" xfId="1" applyNumberFormat="1" applyFont="1" applyFill="1" applyBorder="1" applyAlignment="1">
      <alignment horizontal="center"/>
    </xf>
    <xf numFmtId="4" fontId="4" fillId="3" borderId="4" xfId="1" applyNumberFormat="1" applyFont="1" applyFill="1" applyBorder="1" applyAlignment="1">
      <alignment horizontal="right"/>
    </xf>
    <xf numFmtId="4" fontId="2" fillId="2" borderId="0" xfId="1" applyNumberFormat="1" applyFont="1" applyFill="1"/>
    <xf numFmtId="4" fontId="4" fillId="3" borderId="4" xfId="1" applyNumberFormat="1" applyFont="1" applyFill="1" applyBorder="1" applyAlignment="1">
      <alignment horizontal="right" vertical="center"/>
    </xf>
    <xf numFmtId="3" fontId="21" fillId="3" borderId="4" xfId="1" applyNumberFormat="1" applyFont="1" applyFill="1" applyBorder="1"/>
    <xf numFmtId="0" fontId="21" fillId="3" borderId="4" xfId="1" applyFont="1" applyFill="1" applyBorder="1" applyAlignment="1">
      <alignment horizontal="left"/>
    </xf>
    <xf numFmtId="3" fontId="22" fillId="3" borderId="4" xfId="1" applyNumberFormat="1" applyFont="1" applyFill="1" applyBorder="1"/>
    <xf numFmtId="0" fontId="3" fillId="3" borderId="4" xfId="1" applyFont="1" applyFill="1" applyBorder="1" applyAlignment="1">
      <alignment horizontal="left"/>
    </xf>
    <xf numFmtId="0" fontId="2" fillId="3" borderId="5" xfId="0" applyFont="1" applyFill="1" applyBorder="1" applyAlignment="1">
      <alignment vertical="top" wrapText="1"/>
    </xf>
    <xf numFmtId="0" fontId="23" fillId="3" borderId="4" xfId="1" applyFont="1" applyFill="1" applyBorder="1" applyAlignment="1">
      <alignment horizontal="left"/>
    </xf>
    <xf numFmtId="3" fontId="22" fillId="3" borderId="4" xfId="1" applyNumberFormat="1" applyFont="1" applyFill="1" applyBorder="1" applyAlignment="1">
      <alignment horizontal="right"/>
    </xf>
    <xf numFmtId="3" fontId="10" fillId="3" borderId="4" xfId="0" applyNumberFormat="1" applyFont="1" applyFill="1" applyBorder="1"/>
    <xf numFmtId="0" fontId="10" fillId="3" borderId="4" xfId="0" applyFont="1" applyFill="1" applyBorder="1"/>
    <xf numFmtId="0" fontId="3" fillId="3" borderId="5" xfId="0" applyFont="1" applyFill="1" applyBorder="1"/>
    <xf numFmtId="3" fontId="3" fillId="3" borderId="4" xfId="0" applyNumberFormat="1" applyFont="1" applyFill="1" applyBorder="1"/>
    <xf numFmtId="0" fontId="3" fillId="3" borderId="4" xfId="0" applyFont="1" applyFill="1" applyBorder="1"/>
    <xf numFmtId="0" fontId="3" fillId="3" borderId="4" xfId="1" applyFont="1" applyFill="1" applyBorder="1"/>
    <xf numFmtId="0" fontId="3" fillId="3" borderId="5" xfId="0" applyFont="1" applyFill="1" applyBorder="1" applyAlignment="1">
      <alignment vertical="top"/>
    </xf>
    <xf numFmtId="0" fontId="3" fillId="3" borderId="4" xfId="1" applyFont="1" applyFill="1" applyBorder="1" applyAlignment="1">
      <alignment horizontal="center"/>
    </xf>
    <xf numFmtId="3" fontId="3" fillId="3" borderId="5" xfId="0" applyNumberFormat="1" applyFont="1" applyFill="1" applyBorder="1"/>
    <xf numFmtId="0" fontId="2" fillId="3" borderId="4" xfId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vertical="top"/>
    </xf>
    <xf numFmtId="3" fontId="24" fillId="3" borderId="5" xfId="0" applyNumberFormat="1" applyFont="1" applyFill="1" applyBorder="1"/>
    <xf numFmtId="3" fontId="2" fillId="3" borderId="4" xfId="0" applyNumberFormat="1" applyFont="1" applyFill="1" applyBorder="1"/>
    <xf numFmtId="0" fontId="24" fillId="3" borderId="4" xfId="0" applyFont="1" applyFill="1" applyBorder="1"/>
    <xf numFmtId="3" fontId="25" fillId="3" borderId="5" xfId="0" applyNumberFormat="1" applyFont="1" applyFill="1" applyBorder="1"/>
    <xf numFmtId="0" fontId="3" fillId="3" borderId="4" xfId="0" applyFont="1" applyFill="1" applyBorder="1" applyAlignment="1">
      <alignment wrapText="1"/>
    </xf>
    <xf numFmtId="164" fontId="3" fillId="3" borderId="4" xfId="0" applyNumberFormat="1" applyFont="1" applyFill="1" applyBorder="1" applyAlignment="1">
      <alignment horizontal="left" indent="4"/>
    </xf>
    <xf numFmtId="16" fontId="2" fillId="3" borderId="4" xfId="1" applyNumberFormat="1" applyFont="1" applyFill="1" applyBorder="1" applyAlignment="1">
      <alignment horizontal="center"/>
    </xf>
    <xf numFmtId="16" fontId="3" fillId="3" borderId="4" xfId="1" applyNumberFormat="1" applyFont="1" applyFill="1" applyBorder="1" applyAlignment="1">
      <alignment horizontal="center"/>
    </xf>
    <xf numFmtId="16" fontId="2" fillId="3" borderId="4" xfId="1" quotePrefix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16" fontId="3" fillId="3" borderId="4" xfId="1" quotePrefix="1" applyNumberFormat="1" applyFont="1" applyFill="1" applyBorder="1" applyAlignment="1">
      <alignment horizontal="center"/>
    </xf>
    <xf numFmtId="0" fontId="2" fillId="3" borderId="4" xfId="1" quotePrefix="1" applyFont="1" applyFill="1" applyBorder="1" applyAlignment="1">
      <alignment horizontal="center"/>
    </xf>
    <xf numFmtId="0" fontId="3" fillId="3" borderId="4" xfId="1" quotePrefix="1" applyFont="1" applyFill="1" applyBorder="1" applyAlignment="1">
      <alignment horizontal="center"/>
    </xf>
    <xf numFmtId="9" fontId="3" fillId="3" borderId="5" xfId="0" applyNumberFormat="1" applyFont="1" applyFill="1" applyBorder="1"/>
    <xf numFmtId="0" fontId="2" fillId="5" borderId="0" xfId="1" applyFont="1" applyFill="1"/>
    <xf numFmtId="3" fontId="2" fillId="2" borderId="4" xfId="1" applyNumberFormat="1" applyFont="1" applyFill="1" applyBorder="1" applyAlignment="1">
      <alignment horizontal="right"/>
    </xf>
    <xf numFmtId="49" fontId="2" fillId="2" borderId="4" xfId="1" applyNumberFormat="1" applyFont="1" applyFill="1" applyBorder="1" applyAlignment="1">
      <alignment horizontal="center"/>
    </xf>
    <xf numFmtId="3" fontId="2" fillId="2" borderId="4" xfId="1" applyNumberFormat="1" applyFont="1" applyFill="1" applyBorder="1"/>
    <xf numFmtId="3" fontId="2" fillId="2" borderId="4" xfId="1" quotePrefix="1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right"/>
    </xf>
    <xf numFmtId="3" fontId="4" fillId="2" borderId="4" xfId="1" applyNumberFormat="1" applyFont="1" applyFill="1" applyBorder="1" applyAlignment="1">
      <alignment horizontal="center"/>
    </xf>
    <xf numFmtId="0" fontId="2" fillId="2" borderId="5" xfId="1" applyFont="1" applyFill="1" applyBorder="1"/>
    <xf numFmtId="49" fontId="26" fillId="2" borderId="4" xfId="2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indent="3"/>
    </xf>
    <xf numFmtId="0" fontId="8" fillId="2" borderId="5" xfId="0" applyFont="1" applyFill="1" applyBorder="1"/>
    <xf numFmtId="0" fontId="2" fillId="2" borderId="4" xfId="1" applyFont="1" applyFill="1" applyBorder="1" applyAlignment="1">
      <alignment horizontal="left" indent="2"/>
    </xf>
    <xf numFmtId="3" fontId="2" fillId="2" borderId="4" xfId="1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1" applyFont="1" applyFill="1" applyBorder="1"/>
    <xf numFmtId="0" fontId="2" fillId="2" borderId="4" xfId="0" applyFont="1" applyFill="1" applyBorder="1" applyAlignment="1">
      <alignment horizontal="left" vertical="top"/>
    </xf>
    <xf numFmtId="3" fontId="4" fillId="2" borderId="4" xfId="1" applyNumberFormat="1" applyFont="1" applyFill="1" applyBorder="1"/>
    <xf numFmtId="0" fontId="2" fillId="2" borderId="4" xfId="1" applyFont="1" applyFill="1" applyBorder="1" applyAlignment="1">
      <alignment horizontal="left" indent="4"/>
    </xf>
    <xf numFmtId="0" fontId="2" fillId="2" borderId="5" xfId="0" applyFont="1" applyFill="1" applyBorder="1"/>
    <xf numFmtId="3" fontId="6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/>
    <xf numFmtId="3" fontId="5" fillId="2" borderId="4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3" fontId="4" fillId="2" borderId="4" xfId="1" quotePrefix="1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center" vertical="center"/>
    </xf>
    <xf numFmtId="3" fontId="16" fillId="2" borderId="4" xfId="1" applyNumberFormat="1" applyFont="1" applyFill="1" applyBorder="1"/>
    <xf numFmtId="3" fontId="16" fillId="2" borderId="4" xfId="1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left" vertical="top"/>
    </xf>
    <xf numFmtId="49" fontId="2" fillId="2" borderId="4" xfId="2" applyNumberFormat="1" applyFill="1" applyBorder="1" applyAlignment="1">
      <alignment horizontal="center"/>
    </xf>
    <xf numFmtId="0" fontId="2" fillId="2" borderId="4" xfId="1" applyFont="1" applyFill="1" applyBorder="1" applyAlignment="1">
      <alignment horizontal="left" wrapText="1" indent="3"/>
    </xf>
    <xf numFmtId="49" fontId="3" fillId="2" borderId="4" xfId="0" applyNumberFormat="1" applyFont="1" applyFill="1" applyBorder="1" applyAlignment="1">
      <alignment horizontal="left" vertical="top"/>
    </xf>
    <xf numFmtId="0" fontId="2" fillId="2" borderId="4" xfId="2" applyFill="1" applyBorder="1" applyAlignment="1">
      <alignment wrapText="1"/>
    </xf>
    <xf numFmtId="49" fontId="3" fillId="2" borderId="4" xfId="2" applyNumberFormat="1" applyFont="1" applyFill="1" applyBorder="1" applyAlignment="1">
      <alignment horizontal="left" vertical="top"/>
    </xf>
    <xf numFmtId="49" fontId="3" fillId="2" borderId="5" xfId="2" applyNumberFormat="1" applyFont="1" applyFill="1" applyBorder="1" applyAlignment="1">
      <alignment horizontal="left" vertical="top"/>
    </xf>
    <xf numFmtId="0" fontId="2" fillId="2" borderId="6" xfId="1" applyFont="1" applyFill="1" applyBorder="1" applyAlignment="1">
      <alignment wrapText="1"/>
    </xf>
    <xf numFmtId="0" fontId="2" fillId="2" borderId="9" xfId="1" applyFont="1" applyFill="1" applyBorder="1" applyAlignment="1">
      <alignment wrapText="1"/>
    </xf>
    <xf numFmtId="3" fontId="7" fillId="2" borderId="4" xfId="1" applyNumberFormat="1" applyFont="1" applyFill="1" applyBorder="1"/>
    <xf numFmtId="3" fontId="4" fillId="2" borderId="4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2" fillId="6" borderId="0" xfId="1" applyFont="1" applyFill="1"/>
    <xf numFmtId="3" fontId="13" fillId="2" borderId="4" xfId="1" applyNumberFormat="1" applyFont="1" applyFill="1" applyBorder="1"/>
    <xf numFmtId="0" fontId="2" fillId="2" borderId="4" xfId="0" applyFont="1" applyFill="1" applyBorder="1" applyAlignment="1">
      <alignment horizontal="center"/>
    </xf>
    <xf numFmtId="3" fontId="19" fillId="2" borderId="4" xfId="1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/>
    </xf>
    <xf numFmtId="49" fontId="2" fillId="2" borderId="4" xfId="1" applyNumberFormat="1" applyFont="1" applyFill="1" applyBorder="1"/>
    <xf numFmtId="0" fontId="2" fillId="2" borderId="5" xfId="0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right"/>
    </xf>
    <xf numFmtId="3" fontId="3" fillId="2" borderId="4" xfId="1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3" fontId="2" fillId="2" borderId="4" xfId="1" quotePrefix="1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center" vertical="top"/>
    </xf>
    <xf numFmtId="3" fontId="3" fillId="2" borderId="4" xfId="2" applyNumberFormat="1" applyFont="1" applyFill="1" applyBorder="1" applyAlignment="1">
      <alignment horizontal="left" vertical="top"/>
    </xf>
    <xf numFmtId="3" fontId="4" fillId="2" borderId="4" xfId="1" applyNumberFormat="1" applyFont="1" applyFill="1" applyBorder="1" applyAlignment="1">
      <alignment horizontal="right" vertical="center"/>
    </xf>
    <xf numFmtId="0" fontId="2" fillId="7" borderId="0" xfId="1" applyFont="1" applyFill="1"/>
    <xf numFmtId="3" fontId="22" fillId="2" borderId="4" xfId="1" applyNumberFormat="1" applyFont="1" applyFill="1" applyBorder="1"/>
    <xf numFmtId="0" fontId="3" fillId="2" borderId="4" xfId="1" applyFont="1" applyFill="1" applyBorder="1" applyAlignment="1">
      <alignment horizontal="left"/>
    </xf>
    <xf numFmtId="3" fontId="22" fillId="2" borderId="4" xfId="1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left"/>
    </xf>
    <xf numFmtId="0" fontId="3" fillId="2" borderId="5" xfId="0" applyFont="1" applyFill="1" applyBorder="1"/>
    <xf numFmtId="3" fontId="3" fillId="2" borderId="4" xfId="1" applyNumberFormat="1" applyFont="1" applyFill="1" applyBorder="1"/>
    <xf numFmtId="3" fontId="3" fillId="2" borderId="5" xfId="0" applyNumberFormat="1" applyFont="1" applyFill="1" applyBorder="1"/>
    <xf numFmtId="3" fontId="3" fillId="2" borderId="5" xfId="0" applyNumberFormat="1" applyFont="1" applyFill="1" applyBorder="1" applyAlignment="1">
      <alignment vertical="top"/>
    </xf>
    <xf numFmtId="3" fontId="24" fillId="2" borderId="5" xfId="0" applyNumberFormat="1" applyFont="1" applyFill="1" applyBorder="1"/>
    <xf numFmtId="3" fontId="25" fillId="2" borderId="5" xfId="0" applyNumberFormat="1" applyFont="1" applyFill="1" applyBorder="1"/>
    <xf numFmtId="0" fontId="3" fillId="2" borderId="4" xfId="1" applyFont="1" applyFill="1" applyBorder="1" applyAlignment="1">
      <alignment horizontal="center"/>
    </xf>
    <xf numFmtId="16" fontId="2" fillId="2" borderId="4" xfId="1" applyNumberFormat="1" applyFont="1" applyFill="1" applyBorder="1" applyAlignment="1">
      <alignment horizontal="left"/>
    </xf>
    <xf numFmtId="16" fontId="3" fillId="2" borderId="4" xfId="1" applyNumberFormat="1" applyFont="1" applyFill="1" applyBorder="1" applyAlignment="1">
      <alignment horizontal="left"/>
    </xf>
    <xf numFmtId="16" fontId="3" fillId="2" borderId="4" xfId="1" quotePrefix="1" applyNumberFormat="1" applyFont="1" applyFill="1" applyBorder="1" applyAlignment="1">
      <alignment horizontal="left"/>
    </xf>
    <xf numFmtId="16" fontId="2" fillId="2" borderId="4" xfId="1" applyNumberFormat="1" applyFont="1" applyFill="1" applyBorder="1" applyAlignment="1">
      <alignment horizontal="center"/>
    </xf>
    <xf numFmtId="16" fontId="2" fillId="2" borderId="4" xfId="1" quotePrefix="1" applyNumberFormat="1" applyFont="1" applyFill="1" applyBorder="1" applyAlignment="1">
      <alignment horizontal="left"/>
    </xf>
    <xf numFmtId="3" fontId="2" fillId="2" borderId="4" xfId="0" applyNumberFormat="1" applyFont="1" applyFill="1" applyBorder="1"/>
    <xf numFmtId="0" fontId="2" fillId="2" borderId="4" xfId="0" applyFont="1" applyFill="1" applyBorder="1" applyAlignment="1">
      <alignment wrapText="1"/>
    </xf>
    <xf numFmtId="0" fontId="3" fillId="2" borderId="4" xfId="1" quotePrefix="1" applyFont="1" applyFill="1" applyBorder="1" applyAlignment="1">
      <alignment horizontal="left"/>
    </xf>
    <xf numFmtId="0" fontId="3" fillId="2" borderId="4" xfId="1" applyFont="1" applyFill="1" applyBorder="1"/>
    <xf numFmtId="0" fontId="2" fillId="2" borderId="4" xfId="1" quotePrefix="1" applyFont="1" applyFill="1" applyBorder="1" applyAlignment="1">
      <alignment horizontal="left"/>
    </xf>
    <xf numFmtId="0" fontId="3" fillId="2" borderId="4" xfId="0" applyFont="1" applyFill="1" applyBorder="1"/>
    <xf numFmtId="9" fontId="28" fillId="2" borderId="5" xfId="0" applyNumberFormat="1" applyFont="1" applyFill="1" applyBorder="1" applyAlignment="1">
      <alignment horizontal="center"/>
    </xf>
    <xf numFmtId="0" fontId="3" fillId="2" borderId="4" xfId="1" quotePrefix="1" applyFont="1" applyFill="1" applyBorder="1" applyAlignment="1">
      <alignment horizontal="center"/>
    </xf>
    <xf numFmtId="16" fontId="4" fillId="3" borderId="4" xfId="1" quotePrefix="1" applyNumberFormat="1" applyFont="1" applyFill="1" applyBorder="1" applyAlignment="1">
      <alignment horizontal="center" vertical="center"/>
    </xf>
    <xf numFmtId="3" fontId="2" fillId="0" borderId="4" xfId="1" applyNumberFormat="1" applyFont="1" applyBorder="1" applyAlignment="1">
      <alignment horizontal="left" vertical="center"/>
    </xf>
    <xf numFmtId="0" fontId="2" fillId="0" borderId="4" xfId="1" applyFont="1" applyBorder="1"/>
    <xf numFmtId="0" fontId="2" fillId="0" borderId="5" xfId="1" applyFont="1" applyBorder="1"/>
    <xf numFmtId="0" fontId="2" fillId="0" borderId="4" xfId="0" applyFont="1" applyBorder="1"/>
    <xf numFmtId="3" fontId="2" fillId="0" borderId="4" xfId="1" applyNumberFormat="1" applyFont="1" applyBorder="1"/>
    <xf numFmtId="0" fontId="3" fillId="0" borderId="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" fillId="0" borderId="4" xfId="1" applyFont="1" applyBorder="1" applyAlignment="1">
      <alignment horizontal="center"/>
    </xf>
    <xf numFmtId="4" fontId="2" fillId="2" borderId="4" xfId="1" applyNumberFormat="1" applyFont="1" applyFill="1" applyBorder="1"/>
    <xf numFmtId="49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" fontId="2" fillId="2" borderId="4" xfId="1" applyNumberFormat="1" applyFont="1" applyFill="1" applyBorder="1" applyAlignment="1">
      <alignment horizontal="right"/>
    </xf>
    <xf numFmtId="0" fontId="19" fillId="0" borderId="0" xfId="1" applyFont="1"/>
    <xf numFmtId="0" fontId="19" fillId="2" borderId="0" xfId="1" applyFont="1" applyFill="1"/>
    <xf numFmtId="3" fontId="2" fillId="0" borderId="4" xfId="1" applyNumberFormat="1" applyFont="1" applyBorder="1" applyAlignment="1">
      <alignment horizontal="center"/>
    </xf>
    <xf numFmtId="0" fontId="5" fillId="0" borderId="0" xfId="1" applyFont="1"/>
    <xf numFmtId="0" fontId="5" fillId="2" borderId="0" xfId="1" applyFont="1" applyFill="1"/>
    <xf numFmtId="0" fontId="6" fillId="0" borderId="0" xfId="1" applyFont="1"/>
    <xf numFmtId="0" fontId="6" fillId="2" borderId="0" xfId="1" applyFont="1" applyFill="1"/>
    <xf numFmtId="3" fontId="3" fillId="7" borderId="4" xfId="1" applyNumberFormat="1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center"/>
    </xf>
    <xf numFmtId="3" fontId="2" fillId="0" borderId="4" xfId="1" quotePrefix="1" applyNumberFormat="1" applyFont="1" applyBorder="1" applyAlignment="1">
      <alignment horizontal="center"/>
    </xf>
    <xf numFmtId="0" fontId="2" fillId="0" borderId="4" xfId="1" applyFont="1" applyBorder="1" applyAlignment="1">
      <alignment horizontal="left" indent="5"/>
    </xf>
    <xf numFmtId="0" fontId="4" fillId="0" borderId="0" xfId="1" applyFont="1"/>
    <xf numFmtId="0" fontId="4" fillId="2" borderId="0" xfId="1" applyFont="1" applyFill="1"/>
    <xf numFmtId="49" fontId="2" fillId="0" borderId="4" xfId="2" applyNumberFormat="1" applyBorder="1" applyAlignment="1">
      <alignment horizontal="center"/>
    </xf>
    <xf numFmtId="0" fontId="2" fillId="0" borderId="4" xfId="2" applyBorder="1"/>
    <xf numFmtId="0" fontId="2" fillId="0" borderId="5" xfId="2" applyBorder="1"/>
    <xf numFmtId="0" fontId="2" fillId="0" borderId="4" xfId="0" applyFont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top"/>
    </xf>
    <xf numFmtId="0" fontId="7" fillId="2" borderId="4" xfId="1" applyFont="1" applyFill="1" applyBorder="1"/>
    <xf numFmtId="0" fontId="8" fillId="0" borderId="5" xfId="0" applyFont="1" applyBorder="1"/>
    <xf numFmtId="0" fontId="3" fillId="2" borderId="4" xfId="0" applyFont="1" applyFill="1" applyBorder="1" applyAlignment="1">
      <alignment horizontal="center"/>
    </xf>
    <xf numFmtId="3" fontId="10" fillId="2" borderId="4" xfId="1" applyNumberFormat="1" applyFont="1" applyFill="1" applyBorder="1" applyAlignment="1">
      <alignment horizontal="center"/>
    </xf>
    <xf numFmtId="0" fontId="3" fillId="0" borderId="6" xfId="1" applyFont="1" applyBorder="1"/>
    <xf numFmtId="0" fontId="2" fillId="0" borderId="7" xfId="1" applyFont="1" applyBorder="1"/>
    <xf numFmtId="0" fontId="8" fillId="0" borderId="8" xfId="0" applyFont="1" applyBorder="1"/>
    <xf numFmtId="0" fontId="9" fillId="0" borderId="4" xfId="1" applyFont="1" applyBorder="1"/>
    <xf numFmtId="0" fontId="10" fillId="0" borderId="4" xfId="0" applyFont="1" applyBorder="1"/>
    <xf numFmtId="49" fontId="2" fillId="2" borderId="4" xfId="0" applyNumberFormat="1" applyFont="1" applyFill="1" applyBorder="1" applyAlignment="1">
      <alignment horizontal="center" vertical="top"/>
    </xf>
    <xf numFmtId="0" fontId="2" fillId="0" borderId="4" xfId="1" applyFont="1" applyBorder="1" applyAlignment="1">
      <alignment horizontal="left" indent="4"/>
    </xf>
    <xf numFmtId="0" fontId="2" fillId="0" borderId="5" xfId="0" applyFont="1" applyBorder="1"/>
    <xf numFmtId="49" fontId="3" fillId="2" borderId="4" xfId="2" applyNumberFormat="1" applyFont="1" applyFill="1" applyBorder="1" applyAlignment="1">
      <alignment horizontal="center"/>
    </xf>
    <xf numFmtId="3" fontId="5" fillId="2" borderId="4" xfId="1" applyNumberFormat="1" applyFont="1" applyFill="1" applyBorder="1" applyAlignment="1">
      <alignment horizontal="right" vertical="center"/>
    </xf>
    <xf numFmtId="3" fontId="5" fillId="0" borderId="4" xfId="1" applyNumberFormat="1" applyFont="1" applyBorder="1" applyAlignment="1">
      <alignment horizontal="center" vertical="center"/>
    </xf>
    <xf numFmtId="3" fontId="3" fillId="7" borderId="4" xfId="1" applyNumberFormat="1" applyFont="1" applyFill="1" applyBorder="1" applyAlignment="1">
      <alignment horizontal="right" vertical="center"/>
    </xf>
    <xf numFmtId="3" fontId="3" fillId="7" borderId="4" xfId="1" applyNumberFormat="1" applyFont="1" applyFill="1" applyBorder="1" applyAlignment="1">
      <alignment horizontal="center"/>
    </xf>
    <xf numFmtId="3" fontId="29" fillId="2" borderId="4" xfId="1" applyNumberFormat="1" applyFont="1" applyFill="1" applyBorder="1"/>
    <xf numFmtId="3" fontId="5" fillId="0" borderId="4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/>
    <xf numFmtId="3" fontId="3" fillId="7" borderId="4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/>
    </xf>
    <xf numFmtId="3" fontId="2" fillId="8" borderId="4" xfId="1" applyNumberFormat="1" applyFont="1" applyFill="1" applyBorder="1"/>
    <xf numFmtId="3" fontId="7" fillId="0" borderId="4" xfId="1" applyNumberFormat="1" applyFont="1" applyBorder="1" applyAlignment="1">
      <alignment horizontal="center" vertical="center"/>
    </xf>
    <xf numFmtId="3" fontId="3" fillId="0" borderId="4" xfId="1" quotePrefix="1" applyNumberFormat="1" applyFont="1" applyBorder="1" applyAlignment="1">
      <alignment horizontal="center"/>
    </xf>
    <xf numFmtId="3" fontId="3" fillId="7" borderId="4" xfId="1" applyNumberFormat="1" applyFont="1" applyFill="1" applyBorder="1"/>
    <xf numFmtId="0" fontId="19" fillId="2" borderId="4" xfId="0" applyFont="1" applyFill="1" applyBorder="1" applyAlignment="1">
      <alignment vertical="top" wrapText="1"/>
    </xf>
    <xf numFmtId="0" fontId="14" fillId="2" borderId="4" xfId="1" quotePrefix="1" applyFont="1" applyFill="1" applyBorder="1" applyAlignment="1">
      <alignment horizontal="center"/>
    </xf>
    <xf numFmtId="0" fontId="7" fillId="2" borderId="4" xfId="1" quotePrefix="1" applyFont="1" applyFill="1" applyBorder="1"/>
    <xf numFmtId="0" fontId="2" fillId="0" borderId="6" xfId="1" applyFont="1" applyBorder="1" applyAlignment="1">
      <alignment horizontal="left" indent="3"/>
    </xf>
    <xf numFmtId="49" fontId="7" fillId="0" borderId="4" xfId="0" applyNumberFormat="1" applyFont="1" applyBorder="1" applyAlignment="1">
      <alignment horizontal="left" vertical="top"/>
    </xf>
    <xf numFmtId="0" fontId="2" fillId="0" borderId="8" xfId="0" applyFont="1" applyBorder="1"/>
    <xf numFmtId="0" fontId="2" fillId="0" borderId="4" xfId="1" applyFont="1" applyBorder="1" applyAlignment="1">
      <alignment horizontal="left" indent="3"/>
    </xf>
    <xf numFmtId="0" fontId="7" fillId="0" borderId="4" xfId="1" applyFont="1" applyBorder="1"/>
    <xf numFmtId="3" fontId="3" fillId="0" borderId="4" xfId="1" applyNumberFormat="1" applyFont="1" applyBorder="1" applyAlignment="1">
      <alignment horizontal="center"/>
    </xf>
    <xf numFmtId="3" fontId="30" fillId="0" borderId="4" xfId="1" applyNumberFormat="1" applyFont="1" applyBorder="1" applyAlignment="1">
      <alignment horizontal="center"/>
    </xf>
    <xf numFmtId="0" fontId="7" fillId="2" borderId="6" xfId="1" applyFont="1" applyFill="1" applyBorder="1"/>
    <xf numFmtId="0" fontId="2" fillId="2" borderId="7" xfId="1" applyFont="1" applyFill="1" applyBorder="1"/>
    <xf numFmtId="3" fontId="10" fillId="2" borderId="4" xfId="1" applyNumberFormat="1" applyFont="1" applyFill="1" applyBorder="1"/>
    <xf numFmtId="3" fontId="4" fillId="0" borderId="4" xfId="0" applyNumberFormat="1" applyFont="1" applyBorder="1" applyAlignment="1">
      <alignment horizontal="center"/>
    </xf>
    <xf numFmtId="0" fontId="12" fillId="0" borderId="4" xfId="1" applyFont="1" applyBorder="1"/>
    <xf numFmtId="0" fontId="31" fillId="0" borderId="0" xfId="1" applyFont="1"/>
    <xf numFmtId="0" fontId="31" fillId="2" borderId="0" xfId="1" applyFont="1" applyFill="1"/>
    <xf numFmtId="0" fontId="3" fillId="6" borderId="0" xfId="1" applyFont="1" applyFill="1"/>
    <xf numFmtId="0" fontId="3" fillId="2" borderId="0" xfId="1" applyFont="1" applyFill="1"/>
    <xf numFmtId="4" fontId="3" fillId="7" borderId="4" xfId="1" applyNumberFormat="1" applyFont="1" applyFill="1" applyBorder="1" applyAlignment="1">
      <alignment horizontal="right"/>
    </xf>
    <xf numFmtId="0" fontId="2" fillId="2" borderId="6" xfId="1" applyFont="1" applyFill="1" applyBorder="1" applyAlignment="1">
      <alignment horizontal="left" indent="3"/>
    </xf>
    <xf numFmtId="0" fontId="2" fillId="2" borderId="8" xfId="0" applyFont="1" applyFill="1" applyBorder="1"/>
    <xf numFmtId="3" fontId="22" fillId="7" borderId="4" xfId="1" applyNumberFormat="1" applyFont="1" applyFill="1" applyBorder="1"/>
    <xf numFmtId="49" fontId="3" fillId="0" borderId="4" xfId="2" applyNumberFormat="1" applyFont="1" applyBorder="1" applyAlignment="1">
      <alignment horizontal="center"/>
    </xf>
    <xf numFmtId="4" fontId="4" fillId="2" borderId="4" xfId="1" applyNumberFormat="1" applyFont="1" applyFill="1" applyBorder="1" applyAlignment="1">
      <alignment horizontal="right"/>
    </xf>
    <xf numFmtId="3" fontId="4" fillId="0" borderId="4" xfId="1" applyNumberFormat="1" applyFont="1" applyBorder="1" applyAlignment="1">
      <alignment horizontal="center"/>
    </xf>
    <xf numFmtId="165" fontId="5" fillId="2" borderId="4" xfId="1" applyNumberFormat="1" applyFont="1" applyFill="1" applyBorder="1" applyAlignment="1">
      <alignment horizontal="right"/>
    </xf>
    <xf numFmtId="0" fontId="14" fillId="0" borderId="0" xfId="1" applyFont="1"/>
    <xf numFmtId="0" fontId="14" fillId="2" borderId="0" xfId="1" applyFont="1" applyFill="1"/>
    <xf numFmtId="49" fontId="2" fillId="0" borderId="5" xfId="0" applyNumberFormat="1" applyFont="1" applyBorder="1" applyAlignment="1">
      <alignment wrapText="1"/>
    </xf>
    <xf numFmtId="165" fontId="2" fillId="2" borderId="4" xfId="1" applyNumberFormat="1" applyFont="1" applyFill="1" applyBorder="1"/>
    <xf numFmtId="0" fontId="2" fillId="0" borderId="5" xfId="0" applyFont="1" applyBorder="1" applyAlignment="1">
      <alignment horizontal="center"/>
    </xf>
    <xf numFmtId="0" fontId="30" fillId="0" borderId="0" xfId="1" applyFont="1"/>
    <xf numFmtId="0" fontId="30" fillId="2" borderId="0" xfId="1" applyFont="1" applyFill="1"/>
    <xf numFmtId="3" fontId="13" fillId="2" borderId="4" xfId="0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3" fontId="14" fillId="7" borderId="4" xfId="1" applyNumberFormat="1" applyFont="1" applyFill="1" applyBorder="1" applyAlignment="1">
      <alignment horizontal="right"/>
    </xf>
    <xf numFmtId="0" fontId="14" fillId="7" borderId="4" xfId="0" applyFont="1" applyFill="1" applyBorder="1" applyAlignment="1">
      <alignment horizontal="center"/>
    </xf>
    <xf numFmtId="3" fontId="13" fillId="2" borderId="10" xfId="1" applyNumberFormat="1" applyFont="1" applyFill="1" applyBorder="1"/>
    <xf numFmtId="3" fontId="7" fillId="0" borderId="10" xfId="1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4" fontId="13" fillId="2" borderId="4" xfId="1" applyNumberFormat="1" applyFont="1" applyFill="1" applyBorder="1"/>
    <xf numFmtId="49" fontId="2" fillId="0" borderId="0" xfId="2" applyNumberFormat="1" applyAlignment="1">
      <alignment horizontal="center"/>
    </xf>
    <xf numFmtId="0" fontId="2" fillId="0" borderId="0" xfId="2"/>
    <xf numFmtId="49" fontId="3" fillId="0" borderId="0" xfId="2" applyNumberFormat="1" applyFont="1" applyAlignment="1">
      <alignment horizontal="left" vertical="top"/>
    </xf>
    <xf numFmtId="0" fontId="2" fillId="2" borderId="0" xfId="2" applyFill="1"/>
    <xf numFmtId="49" fontId="3" fillId="2" borderId="0" xfId="2" applyNumberFormat="1" applyFont="1" applyFill="1" applyAlignment="1">
      <alignment horizontal="left" vertical="top"/>
    </xf>
    <xf numFmtId="49" fontId="2" fillId="2" borderId="0" xfId="2" applyNumberFormat="1" applyFill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" fontId="3" fillId="2" borderId="4" xfId="1" applyNumberFormat="1" applyFont="1" applyFill="1" applyBorder="1" applyAlignment="1">
      <alignment horizontal="right"/>
    </xf>
    <xf numFmtId="4" fontId="5" fillId="2" borderId="4" xfId="1" applyNumberFormat="1" applyFont="1" applyFill="1" applyBorder="1" applyAlignment="1">
      <alignment horizontal="right" vertical="center"/>
    </xf>
    <xf numFmtId="3" fontId="5" fillId="2" borderId="4" xfId="1" applyNumberFormat="1" applyFont="1" applyFill="1" applyBorder="1" applyAlignment="1">
      <alignment horizontal="center" vertical="center"/>
    </xf>
    <xf numFmtId="3" fontId="4" fillId="0" borderId="4" xfId="1" quotePrefix="1" applyNumberFormat="1" applyFont="1" applyBorder="1" applyAlignment="1">
      <alignment horizontal="center"/>
    </xf>
    <xf numFmtId="0" fontId="3" fillId="0" borderId="0" xfId="1" applyFont="1"/>
    <xf numFmtId="49" fontId="4" fillId="0" borderId="4" xfId="1" applyNumberFormat="1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3" fillId="0" borderId="4" xfId="1" applyFont="1" applyBorder="1" applyAlignment="1">
      <alignment horizontal="left"/>
    </xf>
    <xf numFmtId="0" fontId="23" fillId="0" borderId="4" xfId="1" applyFont="1" applyBorder="1" applyAlignment="1">
      <alignment horizontal="left"/>
    </xf>
    <xf numFmtId="0" fontId="3" fillId="2" borderId="4" xfId="1" applyFont="1" applyFill="1" applyBorder="1" applyAlignment="1">
      <alignment horizontal="left" vertical="center"/>
    </xf>
    <xf numFmtId="0" fontId="21" fillId="0" borderId="4" xfId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8" xfId="0" applyFont="1" applyBorder="1"/>
    <xf numFmtId="0" fontId="3" fillId="0" borderId="5" xfId="0" applyFont="1" applyBorder="1" applyAlignment="1">
      <alignment vertical="top"/>
    </xf>
    <xf numFmtId="0" fontId="23" fillId="2" borderId="4" xfId="1" applyFont="1" applyFill="1" applyBorder="1"/>
    <xf numFmtId="3" fontId="3" fillId="0" borderId="5" xfId="0" applyNumberFormat="1" applyFont="1" applyBorder="1"/>
    <xf numFmtId="0" fontId="3" fillId="0" borderId="4" xfId="0" applyFont="1" applyBorder="1" applyAlignment="1">
      <alignment wrapText="1"/>
    </xf>
    <xf numFmtId="3" fontId="3" fillId="0" borderId="4" xfId="0" applyNumberFormat="1" applyFont="1" applyBorder="1"/>
    <xf numFmtId="16" fontId="2" fillId="0" borderId="4" xfId="1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1" applyFont="1" applyBorder="1"/>
    <xf numFmtId="3" fontId="3" fillId="0" borderId="4" xfId="1" applyNumberFormat="1" applyFont="1" applyBorder="1" applyAlignment="1">
      <alignment horizontal="right"/>
    </xf>
    <xf numFmtId="3" fontId="24" fillId="0" borderId="5" xfId="0" applyNumberFormat="1" applyFont="1" applyBorder="1"/>
    <xf numFmtId="0" fontId="24" fillId="0" borderId="4" xfId="0" applyFont="1" applyBorder="1"/>
    <xf numFmtId="3" fontId="25" fillId="0" borderId="5" xfId="0" applyNumberFormat="1" applyFont="1" applyBorder="1"/>
    <xf numFmtId="16" fontId="3" fillId="0" borderId="4" xfId="1" applyNumberFormat="1" applyFont="1" applyBorder="1" applyAlignment="1">
      <alignment horizontal="left"/>
    </xf>
    <xf numFmtId="16" fontId="3" fillId="0" borderId="4" xfId="1" quotePrefix="1" applyNumberFormat="1" applyFont="1" applyBorder="1" applyAlignment="1">
      <alignment horizontal="left"/>
    </xf>
    <xf numFmtId="3" fontId="2" fillId="9" borderId="4" xfId="1" applyNumberFormat="1" applyFont="1" applyFill="1" applyBorder="1"/>
    <xf numFmtId="16" fontId="2" fillId="0" borderId="4" xfId="1" quotePrefix="1" applyNumberFormat="1" applyFont="1" applyBorder="1" applyAlignment="1">
      <alignment horizontal="left"/>
    </xf>
    <xf numFmtId="3" fontId="3" fillId="0" borderId="11" xfId="0" applyNumberFormat="1" applyFont="1" applyBorder="1"/>
    <xf numFmtId="16" fontId="2" fillId="2" borderId="6" xfId="1" applyNumberFormat="1" applyFont="1" applyFill="1" applyBorder="1" applyAlignment="1">
      <alignment horizontal="center"/>
    </xf>
    <xf numFmtId="3" fontId="3" fillId="0" borderId="13" xfId="0" applyNumberFormat="1" applyFont="1" applyBorder="1"/>
    <xf numFmtId="3" fontId="2" fillId="0" borderId="4" xfId="0" applyNumberFormat="1" applyFont="1" applyBorder="1"/>
    <xf numFmtId="0" fontId="3" fillId="0" borderId="4" xfId="1" quotePrefix="1" applyFont="1" applyBorder="1" applyAlignment="1">
      <alignment horizontal="left"/>
    </xf>
    <xf numFmtId="3" fontId="3" fillId="2" borderId="4" xfId="1" applyNumberFormat="1" applyFont="1" applyFill="1" applyBorder="1" applyAlignment="1">
      <alignment horizontal="right" vertical="center"/>
    </xf>
    <xf numFmtId="0" fontId="3" fillId="0" borderId="4" xfId="1" quotePrefix="1" applyFont="1" applyBorder="1" applyAlignment="1">
      <alignment horizontal="left" vertical="center"/>
    </xf>
    <xf numFmtId="0" fontId="2" fillId="0" borderId="4" xfId="1" quotePrefix="1" applyFont="1" applyBorder="1" applyAlignment="1">
      <alignment horizontal="left"/>
    </xf>
    <xf numFmtId="0" fontId="2" fillId="0" borderId="4" xfId="0" applyFont="1" applyBorder="1" applyAlignment="1">
      <alignment wrapText="1"/>
    </xf>
    <xf numFmtId="16" fontId="2" fillId="2" borderId="4" xfId="1" quotePrefix="1" applyNumberFormat="1" applyFont="1" applyFill="1" applyBorder="1" applyAlignment="1">
      <alignment horizontal="left" vertical="center"/>
    </xf>
    <xf numFmtId="10" fontId="34" fillId="2" borderId="5" xfId="0" applyNumberFormat="1" applyFont="1" applyFill="1" applyBorder="1" applyAlignment="1">
      <alignment horizontal="left" vertical="center"/>
    </xf>
    <xf numFmtId="16" fontId="13" fillId="2" borderId="4" xfId="1" quotePrefix="1" applyNumberFormat="1" applyFont="1" applyFill="1" applyBorder="1" applyAlignment="1">
      <alignment horizontal="left" vertical="center"/>
    </xf>
    <xf numFmtId="0" fontId="3" fillId="0" borderId="4" xfId="1" quotePrefix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3" fontId="32" fillId="2" borderId="10" xfId="1" applyNumberFormat="1" applyFont="1" applyFill="1" applyBorder="1" applyAlignment="1">
      <alignment horizontal="center" vertical="center" wrapText="1"/>
    </xf>
    <xf numFmtId="1" fontId="32" fillId="0" borderId="4" xfId="3" applyNumberFormat="1" applyFont="1" applyBorder="1" applyAlignment="1">
      <alignment horizontal="center" vertical="center" wrapText="1"/>
    </xf>
    <xf numFmtId="0" fontId="41" fillId="2" borderId="8" xfId="0" applyFont="1" applyFill="1" applyBorder="1"/>
    <xf numFmtId="0" fontId="42" fillId="2" borderId="4" xfId="1" applyFont="1" applyFill="1" applyBorder="1"/>
    <xf numFmtId="0" fontId="41" fillId="2" borderId="6" xfId="1" applyFont="1" applyFill="1" applyBorder="1" applyAlignment="1">
      <alignment horizontal="left" indent="3"/>
    </xf>
    <xf numFmtId="3" fontId="41" fillId="2" borderId="4" xfId="1" applyNumberFormat="1" applyFont="1" applyFill="1" applyBorder="1" applyAlignment="1">
      <alignment horizontal="center"/>
    </xf>
    <xf numFmtId="3" fontId="3" fillId="0" borderId="4" xfId="1" applyNumberFormat="1" applyFont="1" applyBorder="1"/>
    <xf numFmtId="3" fontId="2" fillId="0" borderId="4" xfId="1" applyNumberFormat="1" applyFont="1" applyBorder="1" applyAlignment="1">
      <alignment vertical="center"/>
    </xf>
    <xf numFmtId="49" fontId="2" fillId="10" borderId="4" xfId="0" applyNumberFormat="1" applyFont="1" applyFill="1" applyBorder="1" applyAlignment="1">
      <alignment horizontal="left" vertical="top"/>
    </xf>
    <xf numFmtId="0" fontId="7" fillId="10" borderId="4" xfId="1" applyFont="1" applyFill="1" applyBorder="1"/>
    <xf numFmtId="3" fontId="2" fillId="10" borderId="4" xfId="1" applyNumberFormat="1" applyFont="1" applyFill="1" applyBorder="1" applyAlignment="1">
      <alignment horizontal="center"/>
    </xf>
    <xf numFmtId="3" fontId="2" fillId="10" borderId="4" xfId="1" applyNumberFormat="1" applyFont="1" applyFill="1" applyBorder="1" applyAlignment="1">
      <alignment horizontal="right"/>
    </xf>
    <xf numFmtId="3" fontId="45" fillId="2" borderId="4" xfId="1" applyNumberFormat="1" applyFont="1" applyFill="1" applyBorder="1" applyAlignment="1">
      <alignment horizontal="center"/>
    </xf>
    <xf numFmtId="16" fontId="0" fillId="2" borderId="4" xfId="1" applyNumberFormat="1" applyFont="1" applyFill="1" applyBorder="1" applyAlignment="1">
      <alignment horizontal="center"/>
    </xf>
    <xf numFmtId="3" fontId="0" fillId="2" borderId="4" xfId="1" applyNumberFormat="1" applyFont="1" applyFill="1" applyBorder="1"/>
    <xf numFmtId="3" fontId="0" fillId="0" borderId="4" xfId="1" applyNumberFormat="1" applyFont="1" applyBorder="1"/>
    <xf numFmtId="0" fontId="0" fillId="2" borderId="0" xfId="1" applyFont="1" applyFill="1"/>
    <xf numFmtId="0" fontId="0" fillId="0" borderId="0" xfId="1" applyFont="1"/>
    <xf numFmtId="3" fontId="0" fillId="2" borderId="4" xfId="1" applyNumberFormat="1" applyFont="1" applyFill="1" applyBorder="1" applyAlignment="1">
      <alignment horizontal="center"/>
    </xf>
    <xf numFmtId="3" fontId="2" fillId="0" borderId="4" xfId="1" applyNumberFormat="1" applyFont="1" applyFill="1" applyBorder="1"/>
    <xf numFmtId="3" fontId="4" fillId="0" borderId="4" xfId="0" applyNumberFormat="1" applyFont="1" applyFill="1" applyBorder="1" applyAlignment="1">
      <alignment horizontal="center"/>
    </xf>
    <xf numFmtId="49" fontId="7" fillId="0" borderId="4" xfId="1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left" vertical="top"/>
    </xf>
    <xf numFmtId="3" fontId="44" fillId="2" borderId="4" xfId="1" applyNumberFormat="1" applyFont="1" applyFill="1" applyBorder="1"/>
    <xf numFmtId="3" fontId="45" fillId="0" borderId="4" xfId="1" applyNumberFormat="1" applyFont="1" applyBorder="1"/>
    <xf numFmtId="3" fontId="45" fillId="2" borderId="4" xfId="1" applyNumberFormat="1" applyFont="1" applyFill="1" applyBorder="1"/>
    <xf numFmtId="4" fontId="45" fillId="2" borderId="4" xfId="1" applyNumberFormat="1" applyFont="1" applyFill="1" applyBorder="1"/>
    <xf numFmtId="3" fontId="45" fillId="0" borderId="4" xfId="1" applyNumberFormat="1" applyFont="1" applyFill="1" applyBorder="1"/>
    <xf numFmtId="3" fontId="45" fillId="2" borderId="4" xfId="1" applyNumberFormat="1" applyFont="1" applyFill="1" applyBorder="1" applyAlignment="1">
      <alignment horizontal="right"/>
    </xf>
    <xf numFmtId="3" fontId="45" fillId="9" borderId="4" xfId="1" applyNumberFormat="1" applyFont="1" applyFill="1" applyBorder="1"/>
    <xf numFmtId="4" fontId="3" fillId="2" borderId="4" xfId="1" applyNumberFormat="1" applyFont="1" applyFill="1" applyBorder="1" applyAlignment="1">
      <alignment horizontal="right" vertical="center"/>
    </xf>
    <xf numFmtId="3" fontId="3" fillId="2" borderId="0" xfId="1" applyNumberFormat="1" applyFont="1" applyFill="1"/>
    <xf numFmtId="3" fontId="2" fillId="0" borderId="4" xfId="1" applyNumberFormat="1" applyFont="1" applyFill="1" applyBorder="1" applyAlignment="1">
      <alignment vertical="center"/>
    </xf>
    <xf numFmtId="3" fontId="3" fillId="9" borderId="4" xfId="1" quotePrefix="1" applyNumberFormat="1" applyFont="1" applyFill="1" applyBorder="1" applyAlignment="1">
      <alignment horizontal="center"/>
    </xf>
    <xf numFmtId="3" fontId="13" fillId="9" borderId="4" xfId="1" quotePrefix="1" applyNumberFormat="1" applyFont="1" applyFill="1" applyBorder="1" applyAlignment="1">
      <alignment horizontal="center"/>
    </xf>
    <xf numFmtId="3" fontId="22" fillId="9" borderId="4" xfId="1" quotePrefix="1" applyNumberFormat="1" applyFont="1" applyFill="1" applyBorder="1" applyAlignment="1">
      <alignment horizontal="center"/>
    </xf>
    <xf numFmtId="3" fontId="3" fillId="9" borderId="4" xfId="1" applyNumberFormat="1" applyFont="1" applyFill="1" applyBorder="1" applyAlignment="1">
      <alignment horizontal="center"/>
    </xf>
    <xf numFmtId="3" fontId="3" fillId="9" borderId="4" xfId="1" applyNumberFormat="1" applyFont="1" applyFill="1" applyBorder="1"/>
    <xf numFmtId="3" fontId="2" fillId="9" borderId="4" xfId="1" applyNumberFormat="1" applyFont="1" applyFill="1" applyBorder="1" applyAlignment="1">
      <alignment horizontal="center"/>
    </xf>
    <xf numFmtId="3" fontId="45" fillId="9" borderId="4" xfId="1" applyNumberFormat="1" applyFont="1" applyFill="1" applyBorder="1" applyAlignment="1">
      <alignment horizontal="center"/>
    </xf>
    <xf numFmtId="3" fontId="47" fillId="9" borderId="4" xfId="1" applyNumberFormat="1" applyFont="1" applyFill="1" applyBorder="1" applyAlignment="1">
      <alignment horizontal="center"/>
    </xf>
    <xf numFmtId="4" fontId="2" fillId="0" borderId="4" xfId="1" applyNumberFormat="1" applyFont="1" applyBorder="1"/>
    <xf numFmtId="4" fontId="3" fillId="2" borderId="0" xfId="1" applyNumberFormat="1" applyFont="1" applyFill="1"/>
    <xf numFmtId="9" fontId="2" fillId="2" borderId="0" xfId="1" applyNumberFormat="1" applyFont="1" applyFill="1"/>
    <xf numFmtId="49" fontId="2" fillId="3" borderId="8" xfId="0" applyNumberFormat="1" applyFont="1" applyFill="1" applyBorder="1" applyAlignment="1">
      <alignment horizontal="left" vertical="top"/>
    </xf>
    <xf numFmtId="3" fontId="47" fillId="2" borderId="4" xfId="1" applyNumberFormat="1" applyFont="1" applyFill="1" applyBorder="1" applyAlignment="1">
      <alignment horizontal="center"/>
    </xf>
    <xf numFmtId="3" fontId="48" fillId="9" borderId="4" xfId="1" applyNumberFormat="1" applyFont="1" applyFill="1" applyBorder="1" applyAlignment="1">
      <alignment horizontal="center"/>
    </xf>
    <xf numFmtId="3" fontId="48" fillId="2" borderId="4" xfId="1" applyNumberFormat="1" applyFont="1" applyFill="1" applyBorder="1"/>
    <xf numFmtId="3" fontId="48" fillId="3" borderId="4" xfId="1" applyNumberFormat="1" applyFont="1" applyFill="1" applyBorder="1"/>
    <xf numFmtId="3" fontId="48" fillId="2" borderId="4" xfId="1" applyNumberFormat="1" applyFont="1" applyFill="1" applyBorder="1" applyAlignment="1">
      <alignment horizontal="right"/>
    </xf>
    <xf numFmtId="3" fontId="41" fillId="0" borderId="4" xfId="1" applyNumberFormat="1" applyFont="1" applyBorder="1"/>
    <xf numFmtId="3" fontId="0" fillId="0" borderId="4" xfId="1" applyNumberFormat="1" applyFont="1" applyBorder="1" applyAlignment="1">
      <alignment horizontal="center"/>
    </xf>
    <xf numFmtId="4" fontId="2" fillId="0" borderId="4" xfId="1" applyNumberFormat="1" applyFont="1" applyFill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4" fontId="3" fillId="0" borderId="4" xfId="1" applyNumberFormat="1" applyFont="1" applyBorder="1"/>
    <xf numFmtId="4" fontId="45" fillId="0" borderId="4" xfId="1" applyNumberFormat="1" applyFont="1" applyBorder="1"/>
    <xf numFmtId="4" fontId="3" fillId="2" borderId="4" xfId="1" applyNumberFormat="1" applyFont="1" applyFill="1" applyBorder="1"/>
    <xf numFmtId="4" fontId="22" fillId="2" borderId="4" xfId="1" applyNumberFormat="1" applyFont="1" applyFill="1" applyBorder="1"/>
    <xf numFmtId="4" fontId="2" fillId="0" borderId="4" xfId="1" applyNumberFormat="1" applyFont="1" applyFill="1" applyBorder="1"/>
    <xf numFmtId="4" fontId="3" fillId="0" borderId="4" xfId="1" applyNumberFormat="1" applyFont="1" applyBorder="1" applyAlignment="1">
      <alignment horizontal="right"/>
    </xf>
    <xf numFmtId="4" fontId="2" fillId="9" borderId="4" xfId="1" applyNumberFormat="1" applyFont="1" applyFill="1" applyBorder="1"/>
    <xf numFmtId="4" fontId="3" fillId="9" borderId="4" xfId="1" applyNumberFormat="1" applyFont="1" applyFill="1" applyBorder="1"/>
    <xf numFmtId="4" fontId="45" fillId="9" borderId="4" xfId="1" applyNumberFormat="1" applyFont="1" applyFill="1" applyBorder="1"/>
    <xf numFmtId="4" fontId="2" fillId="4" borderId="4" xfId="1" applyNumberFormat="1" applyFont="1" applyFill="1" applyBorder="1"/>
    <xf numFmtId="4" fontId="3" fillId="2" borderId="4" xfId="2" applyNumberFormat="1" applyFont="1" applyFill="1" applyBorder="1" applyAlignment="1">
      <alignment horizontal="left" vertical="top"/>
    </xf>
    <xf numFmtId="4" fontId="5" fillId="2" borderId="4" xfId="1" applyNumberFormat="1" applyFont="1" applyFill="1" applyBorder="1" applyAlignment="1">
      <alignment horizontal="right"/>
    </xf>
    <xf numFmtId="4" fontId="14" fillId="7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/>
    <xf numFmtId="4" fontId="13" fillId="2" borderId="4" xfId="0" applyNumberFormat="1" applyFont="1" applyFill="1" applyBorder="1" applyAlignment="1">
      <alignment horizontal="right"/>
    </xf>
    <xf numFmtId="4" fontId="22" fillId="7" borderId="4" xfId="1" applyNumberFormat="1" applyFont="1" applyFill="1" applyBorder="1"/>
    <xf numFmtId="4" fontId="45" fillId="3" borderId="4" xfId="1" applyNumberFormat="1" applyFont="1" applyFill="1" applyBorder="1"/>
    <xf numFmtId="4" fontId="45" fillId="0" borderId="4" xfId="1" applyNumberFormat="1" applyFont="1" applyFill="1" applyBorder="1"/>
    <xf numFmtId="4" fontId="3" fillId="7" borderId="4" xfId="1" applyNumberFormat="1" applyFont="1" applyFill="1" applyBorder="1"/>
    <xf numFmtId="4" fontId="10" fillId="2" borderId="4" xfId="1" applyNumberFormat="1" applyFont="1" applyFill="1" applyBorder="1"/>
    <xf numFmtId="4" fontId="3" fillId="7" borderId="4" xfId="1" applyNumberFormat="1" applyFont="1" applyFill="1" applyBorder="1" applyAlignment="1">
      <alignment horizontal="right" vertical="center"/>
    </xf>
    <xf numFmtId="4" fontId="2" fillId="10" borderId="4" xfId="1" applyNumberFormat="1" applyFont="1" applyFill="1" applyBorder="1" applyAlignment="1">
      <alignment horizontal="right"/>
    </xf>
    <xf numFmtId="4" fontId="2" fillId="8" borderId="4" xfId="1" applyNumberFormat="1" applyFont="1" applyFill="1" applyBorder="1"/>
    <xf numFmtId="4" fontId="29" fillId="2" borderId="4" xfId="1" applyNumberFormat="1" applyFont="1" applyFill="1" applyBorder="1"/>
    <xf numFmtId="4" fontId="44" fillId="2" borderId="4" xfId="1" applyNumberFormat="1" applyFont="1" applyFill="1" applyBorder="1"/>
    <xf numFmtId="4" fontId="4" fillId="2" borderId="4" xfId="1" applyNumberFormat="1" applyFont="1" applyFill="1" applyBorder="1"/>
    <xf numFmtId="4" fontId="48" fillId="2" borderId="4" xfId="1" applyNumberFormat="1" applyFont="1" applyFill="1" applyBorder="1"/>
    <xf numFmtId="4" fontId="48" fillId="2" borderId="4" xfId="1" applyNumberFormat="1" applyFont="1" applyFill="1" applyBorder="1" applyAlignment="1">
      <alignment horizontal="right"/>
    </xf>
    <xf numFmtId="4" fontId="22" fillId="2" borderId="4" xfId="1" applyNumberFormat="1" applyFont="1" applyFill="1" applyBorder="1" applyAlignment="1">
      <alignment horizontal="right"/>
    </xf>
    <xf numFmtId="4" fontId="4" fillId="2" borderId="4" xfId="1" applyNumberFormat="1" applyFont="1" applyFill="1" applyBorder="1" applyAlignment="1">
      <alignment horizontal="right" vertical="center"/>
    </xf>
    <xf numFmtId="4" fontId="2" fillId="2" borderId="4" xfId="1" quotePrefix="1" applyNumberFormat="1" applyFont="1" applyFill="1" applyBorder="1" applyAlignment="1">
      <alignment horizontal="right"/>
    </xf>
    <xf numFmtId="4" fontId="19" fillId="2" borderId="4" xfId="1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16" fillId="2" borderId="4" xfId="1" applyNumberFormat="1" applyFont="1" applyFill="1" applyBorder="1"/>
    <xf numFmtId="4" fontId="45" fillId="2" borderId="4" xfId="1" applyNumberFormat="1" applyFont="1" applyFill="1" applyBorder="1" applyAlignment="1">
      <alignment horizontal="right"/>
    </xf>
    <xf numFmtId="4" fontId="4" fillId="3" borderId="4" xfId="1" applyNumberFormat="1" applyFont="1" applyFill="1" applyBorder="1"/>
    <xf numFmtId="4" fontId="3" fillId="3" borderId="4" xfId="1" applyNumberFormat="1" applyFont="1" applyFill="1" applyBorder="1"/>
    <xf numFmtId="4" fontId="22" fillId="3" borderId="4" xfId="1" applyNumberFormat="1" applyFont="1" applyFill="1" applyBorder="1"/>
    <xf numFmtId="4" fontId="13" fillId="3" borderId="4" xfId="1" applyNumberFormat="1" applyFont="1" applyFill="1" applyBorder="1"/>
    <xf numFmtId="4" fontId="3" fillId="3" borderId="4" xfId="0" applyNumberFormat="1" applyFont="1" applyFill="1" applyBorder="1"/>
    <xf numFmtId="4" fontId="10" fillId="3" borderId="4" xfId="0" applyNumberFormat="1" applyFont="1" applyFill="1" applyBorder="1"/>
    <xf numFmtId="4" fontId="22" fillId="3" borderId="4" xfId="1" applyNumberFormat="1" applyFont="1" applyFill="1" applyBorder="1" applyAlignment="1">
      <alignment horizontal="right"/>
    </xf>
    <xf numFmtId="4" fontId="13" fillId="3" borderId="4" xfId="1" applyNumberFormat="1" applyFont="1" applyFill="1" applyBorder="1" applyAlignment="1">
      <alignment horizontal="right"/>
    </xf>
    <xf numFmtId="4" fontId="21" fillId="3" borderId="4" xfId="1" applyNumberFormat="1" applyFont="1" applyFill="1" applyBorder="1"/>
    <xf numFmtId="4" fontId="7" fillId="3" borderId="4" xfId="1" applyNumberFormat="1" applyFont="1" applyFill="1" applyBorder="1" applyAlignment="1">
      <alignment horizontal="right"/>
    </xf>
    <xf numFmtId="4" fontId="11" fillId="3" borderId="4" xfId="1" applyNumberFormat="1" applyFont="1" applyFill="1" applyBorder="1" applyAlignment="1">
      <alignment horizontal="right"/>
    </xf>
    <xf numFmtId="4" fontId="19" fillId="3" borderId="4" xfId="1" applyNumberFormat="1" applyFont="1" applyFill="1" applyBorder="1" applyAlignment="1">
      <alignment horizontal="right"/>
    </xf>
    <xf numFmtId="4" fontId="5" fillId="3" borderId="4" xfId="1" quotePrefix="1" applyNumberFormat="1" applyFont="1" applyFill="1" applyBorder="1" applyAlignment="1">
      <alignment horizontal="right"/>
    </xf>
    <xf numFmtId="4" fontId="2" fillId="3" borderId="4" xfId="1" quotePrefix="1" applyNumberFormat="1" applyFont="1" applyFill="1" applyBorder="1"/>
    <xf numFmtId="4" fontId="15" fillId="3" borderId="4" xfId="1" applyNumberFormat="1" applyFont="1" applyFill="1" applyBorder="1"/>
    <xf numFmtId="4" fontId="4" fillId="3" borderId="4" xfId="1" applyNumberFormat="1" applyFont="1" applyFill="1" applyBorder="1" applyAlignment="1">
      <alignment vertical="center"/>
    </xf>
    <xf numFmtId="4" fontId="10" fillId="3" borderId="4" xfId="1" applyNumberFormat="1" applyFont="1" applyFill="1" applyBorder="1"/>
    <xf numFmtId="4" fontId="9" fillId="3" borderId="4" xfId="1" applyNumberFormat="1" applyFont="1" applyFill="1" applyBorder="1"/>
    <xf numFmtId="0" fontId="0" fillId="0" borderId="4" xfId="0" applyBorder="1"/>
    <xf numFmtId="4" fontId="0" fillId="0" borderId="4" xfId="0" applyNumberFormat="1" applyBorder="1"/>
    <xf numFmtId="4" fontId="26" fillId="2" borderId="4" xfId="2" applyNumberFormat="1" applyFont="1" applyFill="1" applyBorder="1" applyAlignment="1">
      <alignment horizontal="right"/>
    </xf>
    <xf numFmtId="4" fontId="5" fillId="2" borderId="0" xfId="1" applyNumberFormat="1" applyFont="1" applyFill="1"/>
    <xf numFmtId="4" fontId="4" fillId="2" borderId="0" xfId="1" applyNumberFormat="1" applyFont="1" applyFill="1"/>
    <xf numFmtId="4" fontId="31" fillId="2" borderId="0" xfId="1" applyNumberFormat="1" applyFont="1" applyFill="1"/>
    <xf numFmtId="4" fontId="21" fillId="0" borderId="4" xfId="1" applyNumberFormat="1" applyFont="1" applyFill="1" applyBorder="1" applyAlignment="1">
      <alignment horizontal="right" vertical="center"/>
    </xf>
    <xf numFmtId="4" fontId="3" fillId="0" borderId="4" xfId="1" applyNumberFormat="1" applyFont="1" applyFill="1" applyBorder="1"/>
    <xf numFmtId="4" fontId="3" fillId="2" borderId="4" xfId="2" applyNumberFormat="1" applyFont="1" applyFill="1" applyBorder="1" applyAlignment="1">
      <alignment horizontal="right"/>
    </xf>
    <xf numFmtId="4" fontId="45" fillId="0" borderId="0" xfId="1" applyNumberFormat="1" applyFont="1" applyFill="1"/>
    <xf numFmtId="0" fontId="0" fillId="0" borderId="4" xfId="1" applyFont="1" applyBorder="1" applyAlignment="1">
      <alignment horizontal="left"/>
    </xf>
    <xf numFmtId="4" fontId="4" fillId="0" borderId="0" xfId="1" applyNumberFormat="1" applyFont="1" applyFill="1"/>
    <xf numFmtId="3" fontId="3" fillId="2" borderId="8" xfId="0" applyNumberFormat="1" applyFont="1" applyFill="1" applyBorder="1"/>
    <xf numFmtId="3" fontId="26" fillId="2" borderId="4" xfId="1" applyNumberFormat="1" applyFont="1" applyFill="1" applyBorder="1"/>
    <xf numFmtId="4" fontId="26" fillId="2" borderId="4" xfId="1" applyNumberFormat="1" applyFont="1" applyFill="1" applyBorder="1"/>
    <xf numFmtId="0" fontId="0" fillId="2" borderId="6" xfId="0" applyFont="1" applyFill="1" applyBorder="1"/>
    <xf numFmtId="4" fontId="48" fillId="9" borderId="4" xfId="1" applyNumberFormat="1" applyFont="1" applyFill="1" applyBorder="1"/>
    <xf numFmtId="0" fontId="3" fillId="9" borderId="5" xfId="0" applyFont="1" applyFill="1" applyBorder="1"/>
    <xf numFmtId="0" fontId="2" fillId="9" borderId="4" xfId="1" applyFont="1" applyFill="1" applyBorder="1" applyAlignment="1">
      <alignment horizontal="left"/>
    </xf>
    <xf numFmtId="0" fontId="2" fillId="9" borderId="0" xfId="1" applyFont="1" applyFill="1"/>
    <xf numFmtId="4" fontId="4" fillId="9" borderId="0" xfId="1" applyNumberFormat="1" applyFont="1" applyFill="1"/>
    <xf numFmtId="0" fontId="4" fillId="9" borderId="0" xfId="1" applyFont="1" applyFill="1"/>
    <xf numFmtId="4" fontId="5" fillId="9" borderId="0" xfId="1" applyNumberFormat="1" applyFont="1" applyFill="1"/>
    <xf numFmtId="3" fontId="0" fillId="9" borderId="4" xfId="0" applyNumberFormat="1" applyFont="1" applyFill="1" applyBorder="1" applyAlignment="1">
      <alignment horizontal="center"/>
    </xf>
    <xf numFmtId="3" fontId="2" fillId="9" borderId="4" xfId="1" applyNumberFormat="1" applyFont="1" applyFill="1" applyBorder="1" applyAlignment="1">
      <alignment horizontal="right"/>
    </xf>
    <xf numFmtId="4" fontId="6" fillId="2" borderId="0" xfId="1" applyNumberFormat="1" applyFont="1" applyFill="1"/>
    <xf numFmtId="4" fontId="0" fillId="9" borderId="4" xfId="1" applyNumberFormat="1" applyFont="1" applyFill="1" applyBorder="1"/>
    <xf numFmtId="4" fontId="0" fillId="9" borderId="4" xfId="0" applyNumberFormat="1" applyFill="1" applyBorder="1"/>
    <xf numFmtId="4" fontId="2" fillId="9" borderId="4" xfId="1" applyNumberFormat="1" applyFont="1" applyFill="1" applyBorder="1" applyAlignment="1">
      <alignment horizontal="right"/>
    </xf>
    <xf numFmtId="4" fontId="45" fillId="2" borderId="0" xfId="1" applyNumberFormat="1" applyFont="1" applyFill="1"/>
    <xf numFmtId="4" fontId="0" fillId="0" borderId="0" xfId="0" applyNumberFormat="1"/>
    <xf numFmtId="0" fontId="2" fillId="3" borderId="8" xfId="1" applyFont="1" applyFill="1" applyBorder="1" applyAlignment="1">
      <alignment horizontal="left"/>
    </xf>
    <xf numFmtId="0" fontId="7" fillId="3" borderId="6" xfId="1" applyFont="1" applyFill="1" applyBorder="1"/>
    <xf numFmtId="3" fontId="26" fillId="2" borderId="4" xfId="1" applyNumberFormat="1" applyFont="1" applyFill="1" applyBorder="1" applyAlignment="1">
      <alignment horizontal="right"/>
    </xf>
    <xf numFmtId="4" fontId="26" fillId="9" borderId="4" xfId="1" applyNumberFormat="1" applyFont="1" applyFill="1" applyBorder="1" applyAlignment="1">
      <alignment horizontal="right"/>
    </xf>
    <xf numFmtId="0" fontId="0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4" xfId="1" applyFont="1" applyFill="1" applyBorder="1"/>
    <xf numFmtId="3" fontId="0" fillId="2" borderId="4" xfId="1" quotePrefix="1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4" fontId="2" fillId="0" borderId="0" xfId="1" applyNumberFormat="1" applyFont="1" applyFill="1"/>
    <xf numFmtId="16" fontId="21" fillId="0" borderId="4" xfId="1" quotePrefix="1" applyNumberFormat="1" applyFont="1" applyBorder="1" applyAlignment="1">
      <alignment horizontal="left"/>
    </xf>
    <xf numFmtId="4" fontId="26" fillId="2" borderId="4" xfId="1" applyNumberFormat="1" applyFont="1" applyFill="1" applyBorder="1" applyAlignment="1">
      <alignment horizontal="right"/>
    </xf>
    <xf numFmtId="10" fontId="2" fillId="2" borderId="0" xfId="1" applyNumberFormat="1" applyFont="1" applyFill="1"/>
    <xf numFmtId="10" fontId="3" fillId="2" borderId="0" xfId="1" applyNumberFormat="1" applyFont="1" applyFill="1"/>
    <xf numFmtId="10" fontId="3" fillId="2" borderId="0" xfId="1" applyNumberFormat="1" applyFont="1" applyFill="1" applyAlignment="1">
      <alignment horizontal="center" vertical="center" wrapText="1"/>
    </xf>
    <xf numFmtId="10" fontId="4" fillId="2" borderId="0" xfId="1" applyNumberFormat="1" applyFont="1" applyFill="1"/>
    <xf numFmtId="10" fontId="0" fillId="2" borderId="0" xfId="1" applyNumberFormat="1" applyFont="1" applyFill="1"/>
    <xf numFmtId="10" fontId="2" fillId="9" borderId="0" xfId="1" applyNumberFormat="1" applyFont="1" applyFill="1"/>
    <xf numFmtId="10" fontId="2" fillId="2" borderId="0" xfId="1" applyNumberFormat="1" applyFont="1" applyFill="1" applyAlignment="1">
      <alignment vertical="center"/>
    </xf>
    <xf numFmtId="49" fontId="2" fillId="0" borderId="8" xfId="0" applyNumberFormat="1" applyFont="1" applyBorder="1" applyAlignment="1">
      <alignment horizontal="left" vertical="top"/>
    </xf>
    <xf numFmtId="0" fontId="2" fillId="0" borderId="6" xfId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2" fillId="0" borderId="9" xfId="1" applyFont="1" applyBorder="1" applyAlignment="1">
      <alignment horizontal="left"/>
    </xf>
    <xf numFmtId="49" fontId="2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0" fontId="26" fillId="0" borderId="8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7" xfId="1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2" fillId="2" borderId="4" xfId="1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left" vertical="top"/>
    </xf>
    <xf numFmtId="0" fontId="4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4" xfId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left" vertical="top"/>
    </xf>
    <xf numFmtId="49" fontId="2" fillId="3" borderId="4" xfId="0" applyNumberFormat="1" applyFont="1" applyFill="1" applyBorder="1" applyAlignment="1">
      <alignment horizontal="left" vertical="top"/>
    </xf>
    <xf numFmtId="49" fontId="2" fillId="3" borderId="6" xfId="0" applyNumberFormat="1" applyFont="1" applyFill="1" applyBorder="1" applyAlignment="1">
      <alignment horizontal="left" vertical="top"/>
    </xf>
    <xf numFmtId="0" fontId="38" fillId="0" borderId="0" xfId="4" applyFont="1" applyFill="1" applyAlignment="1">
      <alignment vertical="center"/>
    </xf>
    <xf numFmtId="3" fontId="2" fillId="0" borderId="0" xfId="1" applyNumberFormat="1" applyFont="1" applyBorder="1"/>
    <xf numFmtId="0" fontId="2" fillId="0" borderId="0" xfId="1" applyFont="1" applyBorder="1"/>
    <xf numFmtId="3" fontId="43" fillId="2" borderId="0" xfId="1" applyNumberFormat="1" applyFont="1" applyFill="1" applyBorder="1"/>
    <xf numFmtId="3" fontId="3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/>
    <xf numFmtId="0" fontId="37" fillId="0" borderId="23" xfId="4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left" vertical="center"/>
    </xf>
    <xf numFmtId="3" fontId="36" fillId="0" borderId="0" xfId="1" applyNumberFormat="1" applyFont="1" applyBorder="1"/>
    <xf numFmtId="3" fontId="36" fillId="0" borderId="24" xfId="1" applyNumberFormat="1" applyFont="1" applyBorder="1"/>
    <xf numFmtId="0" fontId="35" fillId="0" borderId="23" xfId="4" applyFont="1" applyBorder="1" applyAlignment="1">
      <alignment vertical="center"/>
    </xf>
    <xf numFmtId="0" fontId="35" fillId="0" borderId="0" xfId="4" applyFont="1" applyBorder="1" applyAlignment="1">
      <alignment vertical="center"/>
    </xf>
    <xf numFmtId="14" fontId="35" fillId="0" borderId="0" xfId="4" applyNumberFormat="1" applyFont="1" applyBorder="1" applyAlignment="1">
      <alignment vertical="center"/>
    </xf>
    <xf numFmtId="3" fontId="3" fillId="2" borderId="0" xfId="1" applyNumberFormat="1" applyFont="1" applyFill="1" applyBorder="1"/>
    <xf numFmtId="3" fontId="3" fillId="2" borderId="24" xfId="1" applyNumberFormat="1" applyFont="1" applyFill="1" applyBorder="1"/>
    <xf numFmtId="3" fontId="16" fillId="2" borderId="0" xfId="1" applyNumberFormat="1" applyFont="1" applyFill="1" applyBorder="1"/>
    <xf numFmtId="3" fontId="16" fillId="2" borderId="24" xfId="1" applyNumberFormat="1" applyFont="1" applyFill="1" applyBorder="1"/>
    <xf numFmtId="3" fontId="46" fillId="2" borderId="0" xfId="1" applyNumberFormat="1" applyFont="1" applyFill="1" applyBorder="1"/>
    <xf numFmtId="3" fontId="46" fillId="2" borderId="24" xfId="1" applyNumberFormat="1" applyFont="1" applyFill="1" applyBorder="1"/>
    <xf numFmtId="3" fontId="32" fillId="2" borderId="22" xfId="1" applyNumberFormat="1" applyFont="1" applyFill="1" applyBorder="1" applyAlignment="1">
      <alignment horizontal="center" vertical="center" wrapText="1"/>
    </xf>
    <xf numFmtId="10" fontId="21" fillId="3" borderId="25" xfId="1" applyNumberFormat="1" applyFont="1" applyFill="1" applyBorder="1" applyAlignment="1">
      <alignment horizontal="right" vertical="center"/>
    </xf>
    <xf numFmtId="10" fontId="21" fillId="0" borderId="25" xfId="1" applyNumberFormat="1" applyFont="1" applyFill="1" applyBorder="1" applyAlignment="1">
      <alignment horizontal="right" vertical="center"/>
    </xf>
    <xf numFmtId="10" fontId="26" fillId="0" borderId="25" xfId="1" applyNumberFormat="1" applyFont="1" applyFill="1" applyBorder="1" applyAlignment="1">
      <alignment horizontal="right" vertical="center"/>
    </xf>
    <xf numFmtId="10" fontId="34" fillId="2" borderId="5" xfId="0" applyNumberFormat="1" applyFont="1" applyFill="1" applyBorder="1" applyAlignment="1">
      <alignment horizontal="center" vertical="center"/>
    </xf>
    <xf numFmtId="10" fontId="26" fillId="0" borderId="25" xfId="1" applyNumberFormat="1" applyFont="1" applyFill="1" applyBorder="1" applyAlignment="1"/>
    <xf numFmtId="10" fontId="26" fillId="0" borderId="25" xfId="1" applyNumberFormat="1" applyFont="1" applyFill="1" applyBorder="1" applyAlignment="1">
      <alignment horizontal="right"/>
    </xf>
    <xf numFmtId="3" fontId="3" fillId="9" borderId="25" xfId="1" applyNumberFormat="1" applyFont="1" applyFill="1" applyBorder="1" applyAlignment="1">
      <alignment horizontal="right"/>
    </xf>
    <xf numFmtId="0" fontId="0" fillId="9" borderId="5" xfId="0" applyFont="1" applyFill="1" applyBorder="1" applyAlignment="1">
      <alignment horizontal="left"/>
    </xf>
    <xf numFmtId="10" fontId="26" fillId="9" borderId="25" xfId="1" applyNumberFormat="1" applyFont="1" applyFill="1" applyBorder="1" applyAlignment="1">
      <alignment horizontal="right" vertical="center"/>
    </xf>
    <xf numFmtId="3" fontId="2" fillId="2" borderId="5" xfId="1" applyNumberFormat="1" applyFont="1" applyFill="1" applyBorder="1"/>
    <xf numFmtId="3" fontId="2" fillId="3" borderId="5" xfId="1" applyNumberFormat="1" applyFont="1" applyFill="1" applyBorder="1"/>
    <xf numFmtId="0" fontId="3" fillId="0" borderId="0" xfId="1" applyFont="1" applyBorder="1" applyAlignment="1">
      <alignment horizontal="center"/>
    </xf>
    <xf numFmtId="0" fontId="2" fillId="2" borderId="0" xfId="1" applyFont="1" applyFill="1" applyBorder="1"/>
    <xf numFmtId="0" fontId="0" fillId="2" borderId="0" xfId="1" applyFont="1" applyFill="1" applyBorder="1" applyAlignment="1">
      <alignment horizontal="center"/>
    </xf>
    <xf numFmtId="0" fontId="2" fillId="0" borderId="0" xfId="0" applyFont="1" applyBorder="1"/>
    <xf numFmtId="3" fontId="2" fillId="0" borderId="0" xfId="1" applyNumberFormat="1" applyFont="1" applyBorder="1" applyAlignment="1">
      <alignment horizontal="left" vertical="center"/>
    </xf>
    <xf numFmtId="3" fontId="0" fillId="2" borderId="0" xfId="1" applyNumberFormat="1" applyFont="1" applyFill="1" applyBorder="1" applyAlignment="1">
      <alignment horizontal="center"/>
    </xf>
    <xf numFmtId="10" fontId="26" fillId="0" borderId="26" xfId="1" applyNumberFormat="1" applyFont="1" applyFill="1" applyBorder="1" applyAlignment="1">
      <alignment horizontal="right" vertical="center"/>
    </xf>
    <xf numFmtId="3" fontId="3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38" fillId="0" borderId="0" xfId="4" applyFont="1" applyFill="1" applyBorder="1" applyAlignment="1">
      <alignment horizontal="center" vertical="center"/>
    </xf>
    <xf numFmtId="3" fontId="3" fillId="2" borderId="17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0" fontId="0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7" fillId="3" borderId="9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0" fontId="14" fillId="3" borderId="9" xfId="1" applyFont="1" applyFill="1" applyBorder="1" applyAlignment="1">
      <alignment horizontal="left"/>
    </xf>
    <xf numFmtId="0" fontId="14" fillId="3" borderId="6" xfId="1" applyFont="1" applyFill="1" applyBorder="1" applyAlignment="1">
      <alignment horizontal="left"/>
    </xf>
    <xf numFmtId="0" fontId="4" fillId="3" borderId="9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3" fontId="2" fillId="3" borderId="8" xfId="1" applyNumberFormat="1" applyFont="1" applyFill="1" applyBorder="1" applyAlignment="1">
      <alignment horizontal="left" wrapText="1"/>
    </xf>
    <xf numFmtId="3" fontId="2" fillId="3" borderId="7" xfId="1" applyNumberFormat="1" applyFont="1" applyFill="1" applyBorder="1" applyAlignment="1">
      <alignment horizontal="left" wrapText="1"/>
    </xf>
    <xf numFmtId="3" fontId="2" fillId="3" borderId="6" xfId="1" applyNumberFormat="1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top"/>
    </xf>
    <xf numFmtId="49" fontId="2" fillId="3" borderId="4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top"/>
    </xf>
    <xf numFmtId="49" fontId="2" fillId="3" borderId="6" xfId="0" applyNumberFormat="1" applyFont="1" applyFill="1" applyBorder="1" applyAlignment="1">
      <alignment horizontal="left" vertical="top"/>
    </xf>
    <xf numFmtId="0" fontId="3" fillId="3" borderId="8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left"/>
    </xf>
    <xf numFmtId="0" fontId="3" fillId="3" borderId="6" xfId="1" applyFont="1" applyFill="1" applyBorder="1" applyAlignment="1">
      <alignment horizontal="left"/>
    </xf>
    <xf numFmtId="0" fontId="16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3" fontId="2" fillId="3" borderId="9" xfId="1" applyNumberFormat="1" applyFont="1" applyFill="1" applyBorder="1" applyAlignment="1">
      <alignment horizontal="left"/>
    </xf>
    <xf numFmtId="3" fontId="2" fillId="3" borderId="6" xfId="1" applyNumberFormat="1" applyFont="1" applyFill="1" applyBorder="1" applyAlignment="1">
      <alignment horizontal="left"/>
    </xf>
    <xf numFmtId="0" fontId="4" fillId="3" borderId="4" xfId="1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4" fillId="3" borderId="8" xfId="1" applyFont="1" applyFill="1" applyBorder="1" applyAlignment="1">
      <alignment horizontal="left"/>
    </xf>
    <xf numFmtId="0" fontId="14" fillId="3" borderId="7" xfId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49" fontId="13" fillId="3" borderId="5" xfId="0" applyNumberFormat="1" applyFont="1" applyFill="1" applyBorder="1" applyAlignment="1">
      <alignment horizontal="left" vertical="top"/>
    </xf>
    <xf numFmtId="49" fontId="13" fillId="3" borderId="4" xfId="0" applyNumberFormat="1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11" fillId="3" borderId="8" xfId="1" applyFont="1" applyFill="1" applyBorder="1" applyAlignment="1">
      <alignment horizontal="left"/>
    </xf>
    <xf numFmtId="0" fontId="11" fillId="3" borderId="7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2" fillId="3" borderId="4" xfId="0" quotePrefix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20" fillId="3" borderId="8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" fillId="3" borderId="8" xfId="1" applyFont="1" applyFill="1" applyBorder="1" applyAlignment="1">
      <alignment horizontal="left" wrapText="1"/>
    </xf>
    <xf numFmtId="0" fontId="2" fillId="3" borderId="7" xfId="1" applyFont="1" applyFill="1" applyBorder="1" applyAlignment="1">
      <alignment horizontal="left" wrapText="1"/>
    </xf>
    <xf numFmtId="0" fontId="2" fillId="3" borderId="6" xfId="1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vertical="top"/>
    </xf>
    <xf numFmtId="49" fontId="4" fillId="3" borderId="7" xfId="0" applyNumberFormat="1" applyFont="1" applyFill="1" applyBorder="1" applyAlignment="1">
      <alignment horizontal="left" vertical="top"/>
    </xf>
    <xf numFmtId="49" fontId="4" fillId="3" borderId="6" xfId="0" applyNumberFormat="1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0" fontId="21" fillId="3" borderId="8" xfId="1" applyFont="1" applyFill="1" applyBorder="1" applyAlignment="1">
      <alignment horizontal="left" wrapText="1"/>
    </xf>
    <xf numFmtId="0" fontId="21" fillId="3" borderId="7" xfId="1" applyFont="1" applyFill="1" applyBorder="1" applyAlignment="1">
      <alignment horizontal="left" wrapText="1"/>
    </xf>
    <xf numFmtId="0" fontId="21" fillId="3" borderId="6" xfId="1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3" fontId="3" fillId="3" borderId="8" xfId="0" applyNumberFormat="1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left"/>
    </xf>
    <xf numFmtId="3" fontId="3" fillId="3" borderId="6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/>
    </xf>
    <xf numFmtId="3" fontId="2" fillId="3" borderId="9" xfId="0" applyNumberFormat="1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left"/>
    </xf>
    <xf numFmtId="3" fontId="3" fillId="3" borderId="4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3" fillId="3" borderId="5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8" xfId="1" applyFont="1" applyBorder="1" applyAlignment="1">
      <alignment horizontal="left"/>
    </xf>
    <xf numFmtId="0" fontId="0" fillId="0" borderId="7" xfId="1" applyFont="1" applyBorder="1" applyAlignment="1">
      <alignment horizontal="left"/>
    </xf>
    <xf numFmtId="0" fontId="0" fillId="0" borderId="6" xfId="1" applyFont="1" applyBorder="1" applyAlignment="1">
      <alignment horizontal="left"/>
    </xf>
    <xf numFmtId="0" fontId="26" fillId="0" borderId="8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" fillId="2" borderId="5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left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2" applyFill="1" applyBorder="1" applyAlignment="1">
      <alignment horizontal="left"/>
    </xf>
    <xf numFmtId="0" fontId="2" fillId="2" borderId="4" xfId="2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2" fillId="2" borderId="9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left" vertical="top"/>
    </xf>
    <xf numFmtId="49" fontId="13" fillId="2" borderId="7" xfId="0" applyNumberFormat="1" applyFont="1" applyFill="1" applyBorder="1" applyAlignment="1">
      <alignment horizontal="left" vertical="top"/>
    </xf>
    <xf numFmtId="49" fontId="13" fillId="2" borderId="6" xfId="0" applyNumberFormat="1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left" vertical="top"/>
    </xf>
    <xf numFmtId="49" fontId="13" fillId="2" borderId="4" xfId="0" applyNumberFormat="1" applyFont="1" applyFill="1" applyBorder="1" applyAlignment="1">
      <alignment horizontal="left" vertical="top"/>
    </xf>
    <xf numFmtId="0" fontId="2" fillId="2" borderId="4" xfId="0" quotePrefix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6" xfId="0" applyNumberFormat="1" applyFont="1" applyFill="1" applyBorder="1" applyAlignment="1">
      <alignment horizontal="left" vertical="top"/>
    </xf>
    <xf numFmtId="0" fontId="27" fillId="2" borderId="5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3" fontId="3" fillId="2" borderId="5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justify"/>
    </xf>
    <xf numFmtId="0" fontId="0" fillId="0" borderId="6" xfId="0" applyBorder="1" applyAlignment="1">
      <alignment horizontal="left" vertical="justify"/>
    </xf>
    <xf numFmtId="0" fontId="0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6" xfId="0" quotePrefix="1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 vertical="center" wrapText="1"/>
    </xf>
    <xf numFmtId="3" fontId="2" fillId="2" borderId="4" xfId="0" quotePrefix="1" applyNumberFormat="1" applyFont="1" applyFill="1" applyBorder="1" applyAlignment="1">
      <alignment horizontal="left" vertical="center" wrapText="1"/>
    </xf>
    <xf numFmtId="0" fontId="2" fillId="2" borderId="9" xfId="0" quotePrefix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 wrapText="1"/>
    </xf>
    <xf numFmtId="49" fontId="3" fillId="2" borderId="4" xfId="0" quotePrefix="1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9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49" fontId="2" fillId="0" borderId="5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0" fontId="0" fillId="9" borderId="7" xfId="0" applyFont="1" applyFill="1" applyBorder="1" applyAlignment="1">
      <alignment horizontal="left"/>
    </xf>
    <xf numFmtId="0" fontId="0" fillId="9" borderId="6" xfId="0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7" borderId="5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top"/>
    </xf>
    <xf numFmtId="0" fontId="3" fillId="7" borderId="5" xfId="1" applyFont="1" applyFill="1" applyBorder="1" applyAlignment="1">
      <alignment horizontal="center" wrapText="1"/>
    </xf>
    <xf numFmtId="0" fontId="3" fillId="7" borderId="4" xfId="1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6" fillId="9" borderId="8" xfId="0" applyFont="1" applyFill="1" applyBorder="1" applyAlignment="1">
      <alignment horizontal="left" wrapText="1"/>
    </xf>
    <xf numFmtId="0" fontId="26" fillId="9" borderId="7" xfId="0" applyFont="1" applyFill="1" applyBorder="1" applyAlignment="1">
      <alignment horizontal="left" wrapText="1"/>
    </xf>
    <xf numFmtId="0" fontId="26" fillId="9" borderId="6" xfId="0" applyFont="1" applyFill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8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2" fillId="0" borderId="5" xfId="2" applyBorder="1" applyAlignment="1">
      <alignment horizontal="left"/>
    </xf>
    <xf numFmtId="0" fontId="2" fillId="0" borderId="4" xfId="2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2" borderId="9" xfId="1" quotePrefix="1" applyFont="1" applyFill="1" applyBorder="1" applyAlignment="1">
      <alignment horizontal="left"/>
    </xf>
    <xf numFmtId="0" fontId="14" fillId="2" borderId="6" xfId="1" quotePrefix="1" applyFont="1" applyFill="1" applyBorder="1" applyAlignment="1">
      <alignment horizontal="left"/>
    </xf>
    <xf numFmtId="0" fontId="3" fillId="7" borderId="8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8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7" borderId="6" xfId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7" borderId="8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0" fillId="0" borderId="8" xfId="0" applyNumberFormat="1" applyFont="1" applyBorder="1" applyAlignment="1">
      <alignment horizontal="left" vertical="top"/>
    </xf>
    <xf numFmtId="0" fontId="14" fillId="7" borderId="8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49" fontId="13" fillId="0" borderId="5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49" fontId="13" fillId="0" borderId="8" xfId="0" applyNumberFormat="1" applyFont="1" applyBorder="1" applyAlignment="1">
      <alignment horizontal="left" vertical="top"/>
    </xf>
    <xf numFmtId="49" fontId="13" fillId="0" borderId="7" xfId="0" applyNumberFormat="1" applyFont="1" applyBorder="1" applyAlignment="1">
      <alignment horizontal="left" vertical="top"/>
    </xf>
    <xf numFmtId="49" fontId="13" fillId="0" borderId="6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4" fontId="13" fillId="0" borderId="8" xfId="2" applyNumberFormat="1" applyFont="1" applyBorder="1" applyAlignment="1">
      <alignment horizontal="center" vertical="top"/>
    </xf>
    <xf numFmtId="4" fontId="13" fillId="0" borderId="7" xfId="2" applyNumberFormat="1" applyFont="1" applyBorder="1" applyAlignment="1">
      <alignment horizontal="center" vertical="top"/>
    </xf>
    <xf numFmtId="4" fontId="13" fillId="0" borderId="6" xfId="2" applyNumberFormat="1" applyFont="1" applyBorder="1" applyAlignment="1">
      <alignment horizontal="center" vertical="top"/>
    </xf>
    <xf numFmtId="0" fontId="32" fillId="0" borderId="8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0" fontId="33" fillId="0" borderId="5" xfId="0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6" fillId="0" borderId="8" xfId="1" applyFont="1" applyBorder="1" applyAlignment="1">
      <alignment horizontal="left" wrapText="1"/>
    </xf>
    <xf numFmtId="0" fontId="26" fillId="0" borderId="7" xfId="1" applyFont="1" applyBorder="1" applyAlignment="1">
      <alignment horizontal="left" wrapText="1"/>
    </xf>
    <xf numFmtId="0" fontId="26" fillId="0" borderId="6" xfId="1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9" borderId="9" xfId="0" applyFont="1" applyFill="1" applyBorder="1" applyAlignment="1">
      <alignment horizontal="left" wrapText="1"/>
    </xf>
    <xf numFmtId="0" fontId="0" fillId="9" borderId="6" xfId="0" applyFill="1" applyBorder="1" applyAlignment="1">
      <alignment horizontal="left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 wrapText="1"/>
    </xf>
    <xf numFmtId="3" fontId="2" fillId="0" borderId="6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3" fontId="2" fillId="0" borderId="4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26" fillId="2" borderId="9" xfId="0" applyNumberFormat="1" applyFont="1" applyFill="1" applyBorder="1" applyAlignment="1">
      <alignment horizontal="left"/>
    </xf>
    <xf numFmtId="3" fontId="26" fillId="2" borderId="6" xfId="0" applyNumberFormat="1" applyFont="1" applyFill="1" applyBorder="1" applyAlignment="1">
      <alignment horizontal="left"/>
    </xf>
    <xf numFmtId="3" fontId="3" fillId="0" borderId="12" xfId="0" applyNumberFormat="1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6" xfId="1" applyFont="1" applyBorder="1" applyAlignment="1">
      <alignment horizontal="left" wrapText="1"/>
    </xf>
    <xf numFmtId="3" fontId="3" fillId="2" borderId="9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8" fillId="0" borderId="0" xfId="1" applyFont="1" applyBorder="1" applyAlignment="1">
      <alignment horizontal="left"/>
    </xf>
    <xf numFmtId="0" fontId="37" fillId="0" borderId="0" xfId="4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" fontId="3" fillId="0" borderId="18" xfId="3" applyNumberFormat="1" applyFont="1" applyBorder="1" applyAlignment="1">
      <alignment horizontal="center" vertical="center" wrapText="1"/>
    </xf>
    <xf numFmtId="1" fontId="3" fillId="0" borderId="9" xfId="3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165" fontId="3" fillId="0" borderId="17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" xfId="5" xr:uid="{00000000-0005-0000-0000-000001000000}"/>
    <cellStyle name="Normal_Foaie1 2" xfId="2" xr:uid="{00000000-0005-0000-0000-000002000000}"/>
    <cellStyle name="Normal_mach03" xfId="3" xr:uid="{00000000-0005-0000-0000-000003000000}"/>
    <cellStyle name="Normal_Machete buget 99" xfId="1" xr:uid="{00000000-0005-0000-0000-000004000000}"/>
    <cellStyle name="Normal_VAC 1b" xfId="4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I1799"/>
  <sheetViews>
    <sheetView tabSelected="1" zoomScale="132" zoomScaleNormal="132" workbookViewId="0">
      <pane ySplit="12" topLeftCell="A13" activePane="bottomLeft" state="frozen"/>
      <selection activeCell="A5" sqref="A5"/>
      <selection pane="bottomLeft" activeCell="C1" sqref="C1:I1"/>
    </sheetView>
  </sheetViews>
  <sheetFormatPr defaultColWidth="14" defaultRowHeight="12.75"/>
  <cols>
    <col min="1" max="1" width="5.140625" style="1" customWidth="1"/>
    <col min="2" max="2" width="17.42578125" style="1" customWidth="1"/>
    <col min="3" max="3" width="48.42578125" style="1" customWidth="1"/>
    <col min="4" max="4" width="10.7109375" style="4" customWidth="1"/>
    <col min="5" max="5" width="15" style="3" customWidth="1"/>
    <col min="6" max="6" width="14.42578125" style="3" customWidth="1"/>
    <col min="7" max="7" width="15.42578125" style="3" customWidth="1"/>
    <col min="8" max="8" width="15.28515625" style="3" customWidth="1"/>
    <col min="9" max="9" width="11.28515625" style="3" customWidth="1"/>
    <col min="10" max="10" width="17.42578125" style="531" customWidth="1"/>
    <col min="11" max="11" width="14.7109375" style="2" customWidth="1"/>
    <col min="12" max="12" width="15.28515625" style="2" customWidth="1"/>
    <col min="13" max="13" width="14.5703125" style="2" bestFit="1" customWidth="1"/>
    <col min="14" max="14" width="15.140625" style="2" customWidth="1"/>
    <col min="15" max="15" width="15" style="2" customWidth="1"/>
    <col min="16" max="16" width="16.85546875" style="2" customWidth="1"/>
    <col min="17" max="31" width="14" style="2"/>
    <col min="32" max="252" width="14" style="1"/>
    <col min="253" max="253" width="5.140625" style="1" customWidth="1"/>
    <col min="254" max="254" width="14.7109375" style="1" customWidth="1"/>
    <col min="255" max="255" width="40.140625" style="1" customWidth="1"/>
    <col min="256" max="256" width="10.28515625" style="1" customWidth="1"/>
    <col min="257" max="257" width="11.42578125" style="1" customWidth="1"/>
    <col min="258" max="260" width="11.140625" style="1" bestFit="1" customWidth="1"/>
    <col min="261" max="508" width="14" style="1"/>
    <col min="509" max="509" width="5.140625" style="1" customWidth="1"/>
    <col min="510" max="510" width="14.7109375" style="1" customWidth="1"/>
    <col min="511" max="511" width="40.140625" style="1" customWidth="1"/>
    <col min="512" max="512" width="10.28515625" style="1" customWidth="1"/>
    <col min="513" max="513" width="11.42578125" style="1" customWidth="1"/>
    <col min="514" max="516" width="11.140625" style="1" bestFit="1" customWidth="1"/>
    <col min="517" max="764" width="14" style="1"/>
    <col min="765" max="765" width="5.140625" style="1" customWidth="1"/>
    <col min="766" max="766" width="14.7109375" style="1" customWidth="1"/>
    <col min="767" max="767" width="40.140625" style="1" customWidth="1"/>
    <col min="768" max="768" width="10.28515625" style="1" customWidth="1"/>
    <col min="769" max="769" width="11.42578125" style="1" customWidth="1"/>
    <col min="770" max="772" width="11.140625" style="1" bestFit="1" customWidth="1"/>
    <col min="773" max="1020" width="14" style="1"/>
    <col min="1021" max="1021" width="5.140625" style="1" customWidth="1"/>
    <col min="1022" max="1022" width="14.7109375" style="1" customWidth="1"/>
    <col min="1023" max="1023" width="40.140625" style="1" customWidth="1"/>
    <col min="1024" max="1024" width="10.28515625" style="1" customWidth="1"/>
    <col min="1025" max="1025" width="11.42578125" style="1" customWidth="1"/>
    <col min="1026" max="1028" width="11.140625" style="1" bestFit="1" customWidth="1"/>
    <col min="1029" max="1276" width="14" style="1"/>
    <col min="1277" max="1277" width="5.140625" style="1" customWidth="1"/>
    <col min="1278" max="1278" width="14.7109375" style="1" customWidth="1"/>
    <col min="1279" max="1279" width="40.140625" style="1" customWidth="1"/>
    <col min="1280" max="1280" width="10.28515625" style="1" customWidth="1"/>
    <col min="1281" max="1281" width="11.42578125" style="1" customWidth="1"/>
    <col min="1282" max="1284" width="11.140625" style="1" bestFit="1" customWidth="1"/>
    <col min="1285" max="1532" width="14" style="1"/>
    <col min="1533" max="1533" width="5.140625" style="1" customWidth="1"/>
    <col min="1534" max="1534" width="14.7109375" style="1" customWidth="1"/>
    <col min="1535" max="1535" width="40.140625" style="1" customWidth="1"/>
    <col min="1536" max="1536" width="10.28515625" style="1" customWidth="1"/>
    <col min="1537" max="1537" width="11.42578125" style="1" customWidth="1"/>
    <col min="1538" max="1540" width="11.140625" style="1" bestFit="1" customWidth="1"/>
    <col min="1541" max="1788" width="14" style="1"/>
    <col min="1789" max="1789" width="5.140625" style="1" customWidth="1"/>
    <col min="1790" max="1790" width="14.7109375" style="1" customWidth="1"/>
    <col min="1791" max="1791" width="40.140625" style="1" customWidth="1"/>
    <col min="1792" max="1792" width="10.28515625" style="1" customWidth="1"/>
    <col min="1793" max="1793" width="11.42578125" style="1" customWidth="1"/>
    <col min="1794" max="1796" width="11.140625" style="1" bestFit="1" customWidth="1"/>
    <col min="1797" max="2044" width="14" style="1"/>
    <col min="2045" max="2045" width="5.140625" style="1" customWidth="1"/>
    <col min="2046" max="2046" width="14.7109375" style="1" customWidth="1"/>
    <col min="2047" max="2047" width="40.140625" style="1" customWidth="1"/>
    <col min="2048" max="2048" width="10.28515625" style="1" customWidth="1"/>
    <col min="2049" max="2049" width="11.42578125" style="1" customWidth="1"/>
    <col min="2050" max="2052" width="11.140625" style="1" bestFit="1" customWidth="1"/>
    <col min="2053" max="2300" width="14" style="1"/>
    <col min="2301" max="2301" width="5.140625" style="1" customWidth="1"/>
    <col min="2302" max="2302" width="14.7109375" style="1" customWidth="1"/>
    <col min="2303" max="2303" width="40.140625" style="1" customWidth="1"/>
    <col min="2304" max="2304" width="10.28515625" style="1" customWidth="1"/>
    <col min="2305" max="2305" width="11.42578125" style="1" customWidth="1"/>
    <col min="2306" max="2308" width="11.140625" style="1" bestFit="1" customWidth="1"/>
    <col min="2309" max="2556" width="14" style="1"/>
    <col min="2557" max="2557" width="5.140625" style="1" customWidth="1"/>
    <col min="2558" max="2558" width="14.7109375" style="1" customWidth="1"/>
    <col min="2559" max="2559" width="40.140625" style="1" customWidth="1"/>
    <col min="2560" max="2560" width="10.28515625" style="1" customWidth="1"/>
    <col min="2561" max="2561" width="11.42578125" style="1" customWidth="1"/>
    <col min="2562" max="2564" width="11.140625" style="1" bestFit="1" customWidth="1"/>
    <col min="2565" max="2812" width="14" style="1"/>
    <col min="2813" max="2813" width="5.140625" style="1" customWidth="1"/>
    <col min="2814" max="2814" width="14.7109375" style="1" customWidth="1"/>
    <col min="2815" max="2815" width="40.140625" style="1" customWidth="1"/>
    <col min="2816" max="2816" width="10.28515625" style="1" customWidth="1"/>
    <col min="2817" max="2817" width="11.42578125" style="1" customWidth="1"/>
    <col min="2818" max="2820" width="11.140625" style="1" bestFit="1" customWidth="1"/>
    <col min="2821" max="3068" width="14" style="1"/>
    <col min="3069" max="3069" width="5.140625" style="1" customWidth="1"/>
    <col min="3070" max="3070" width="14.7109375" style="1" customWidth="1"/>
    <col min="3071" max="3071" width="40.140625" style="1" customWidth="1"/>
    <col min="3072" max="3072" width="10.28515625" style="1" customWidth="1"/>
    <col min="3073" max="3073" width="11.42578125" style="1" customWidth="1"/>
    <col min="3074" max="3076" width="11.140625" style="1" bestFit="1" customWidth="1"/>
    <col min="3077" max="3324" width="14" style="1"/>
    <col min="3325" max="3325" width="5.140625" style="1" customWidth="1"/>
    <col min="3326" max="3326" width="14.7109375" style="1" customWidth="1"/>
    <col min="3327" max="3327" width="40.140625" style="1" customWidth="1"/>
    <col min="3328" max="3328" width="10.28515625" style="1" customWidth="1"/>
    <col min="3329" max="3329" width="11.42578125" style="1" customWidth="1"/>
    <col min="3330" max="3332" width="11.140625" style="1" bestFit="1" customWidth="1"/>
    <col min="3333" max="3580" width="14" style="1"/>
    <col min="3581" max="3581" width="5.140625" style="1" customWidth="1"/>
    <col min="3582" max="3582" width="14.7109375" style="1" customWidth="1"/>
    <col min="3583" max="3583" width="40.140625" style="1" customWidth="1"/>
    <col min="3584" max="3584" width="10.28515625" style="1" customWidth="1"/>
    <col min="3585" max="3585" width="11.42578125" style="1" customWidth="1"/>
    <col min="3586" max="3588" width="11.140625" style="1" bestFit="1" customWidth="1"/>
    <col min="3589" max="3836" width="14" style="1"/>
    <col min="3837" max="3837" width="5.140625" style="1" customWidth="1"/>
    <col min="3838" max="3838" width="14.7109375" style="1" customWidth="1"/>
    <col min="3839" max="3839" width="40.140625" style="1" customWidth="1"/>
    <col min="3840" max="3840" width="10.28515625" style="1" customWidth="1"/>
    <col min="3841" max="3841" width="11.42578125" style="1" customWidth="1"/>
    <col min="3842" max="3844" width="11.140625" style="1" bestFit="1" customWidth="1"/>
    <col min="3845" max="4092" width="14" style="1"/>
    <col min="4093" max="4093" width="5.140625" style="1" customWidth="1"/>
    <col min="4094" max="4094" width="14.7109375" style="1" customWidth="1"/>
    <col min="4095" max="4095" width="40.140625" style="1" customWidth="1"/>
    <col min="4096" max="4096" width="10.28515625" style="1" customWidth="1"/>
    <col min="4097" max="4097" width="11.42578125" style="1" customWidth="1"/>
    <col min="4098" max="4100" width="11.140625" style="1" bestFit="1" customWidth="1"/>
    <col min="4101" max="4348" width="14" style="1"/>
    <col min="4349" max="4349" width="5.140625" style="1" customWidth="1"/>
    <col min="4350" max="4350" width="14.7109375" style="1" customWidth="1"/>
    <col min="4351" max="4351" width="40.140625" style="1" customWidth="1"/>
    <col min="4352" max="4352" width="10.28515625" style="1" customWidth="1"/>
    <col min="4353" max="4353" width="11.42578125" style="1" customWidth="1"/>
    <col min="4354" max="4356" width="11.140625" style="1" bestFit="1" customWidth="1"/>
    <col min="4357" max="4604" width="14" style="1"/>
    <col min="4605" max="4605" width="5.140625" style="1" customWidth="1"/>
    <col min="4606" max="4606" width="14.7109375" style="1" customWidth="1"/>
    <col min="4607" max="4607" width="40.140625" style="1" customWidth="1"/>
    <col min="4608" max="4608" width="10.28515625" style="1" customWidth="1"/>
    <col min="4609" max="4609" width="11.42578125" style="1" customWidth="1"/>
    <col min="4610" max="4612" width="11.140625" style="1" bestFit="1" customWidth="1"/>
    <col min="4613" max="4860" width="14" style="1"/>
    <col min="4861" max="4861" width="5.140625" style="1" customWidth="1"/>
    <col min="4862" max="4862" width="14.7109375" style="1" customWidth="1"/>
    <col min="4863" max="4863" width="40.140625" style="1" customWidth="1"/>
    <col min="4864" max="4864" width="10.28515625" style="1" customWidth="1"/>
    <col min="4865" max="4865" width="11.42578125" style="1" customWidth="1"/>
    <col min="4866" max="4868" width="11.140625" style="1" bestFit="1" customWidth="1"/>
    <col min="4869" max="5116" width="14" style="1"/>
    <col min="5117" max="5117" width="5.140625" style="1" customWidth="1"/>
    <col min="5118" max="5118" width="14.7109375" style="1" customWidth="1"/>
    <col min="5119" max="5119" width="40.140625" style="1" customWidth="1"/>
    <col min="5120" max="5120" width="10.28515625" style="1" customWidth="1"/>
    <col min="5121" max="5121" width="11.42578125" style="1" customWidth="1"/>
    <col min="5122" max="5124" width="11.140625" style="1" bestFit="1" customWidth="1"/>
    <col min="5125" max="5372" width="14" style="1"/>
    <col min="5373" max="5373" width="5.140625" style="1" customWidth="1"/>
    <col min="5374" max="5374" width="14.7109375" style="1" customWidth="1"/>
    <col min="5375" max="5375" width="40.140625" style="1" customWidth="1"/>
    <col min="5376" max="5376" width="10.28515625" style="1" customWidth="1"/>
    <col min="5377" max="5377" width="11.42578125" style="1" customWidth="1"/>
    <col min="5378" max="5380" width="11.140625" style="1" bestFit="1" customWidth="1"/>
    <col min="5381" max="5628" width="14" style="1"/>
    <col min="5629" max="5629" width="5.140625" style="1" customWidth="1"/>
    <col min="5630" max="5630" width="14.7109375" style="1" customWidth="1"/>
    <col min="5631" max="5631" width="40.140625" style="1" customWidth="1"/>
    <col min="5632" max="5632" width="10.28515625" style="1" customWidth="1"/>
    <col min="5633" max="5633" width="11.42578125" style="1" customWidth="1"/>
    <col min="5634" max="5636" width="11.140625" style="1" bestFit="1" customWidth="1"/>
    <col min="5637" max="5884" width="14" style="1"/>
    <col min="5885" max="5885" width="5.140625" style="1" customWidth="1"/>
    <col min="5886" max="5886" width="14.7109375" style="1" customWidth="1"/>
    <col min="5887" max="5887" width="40.140625" style="1" customWidth="1"/>
    <col min="5888" max="5888" width="10.28515625" style="1" customWidth="1"/>
    <col min="5889" max="5889" width="11.42578125" style="1" customWidth="1"/>
    <col min="5890" max="5892" width="11.140625" style="1" bestFit="1" customWidth="1"/>
    <col min="5893" max="6140" width="14" style="1"/>
    <col min="6141" max="6141" width="5.140625" style="1" customWidth="1"/>
    <col min="6142" max="6142" width="14.7109375" style="1" customWidth="1"/>
    <col min="6143" max="6143" width="40.140625" style="1" customWidth="1"/>
    <col min="6144" max="6144" width="10.28515625" style="1" customWidth="1"/>
    <col min="6145" max="6145" width="11.42578125" style="1" customWidth="1"/>
    <col min="6146" max="6148" width="11.140625" style="1" bestFit="1" customWidth="1"/>
    <col min="6149" max="6396" width="14" style="1"/>
    <col min="6397" max="6397" width="5.140625" style="1" customWidth="1"/>
    <col min="6398" max="6398" width="14.7109375" style="1" customWidth="1"/>
    <col min="6399" max="6399" width="40.140625" style="1" customWidth="1"/>
    <col min="6400" max="6400" width="10.28515625" style="1" customWidth="1"/>
    <col min="6401" max="6401" width="11.42578125" style="1" customWidth="1"/>
    <col min="6402" max="6404" width="11.140625" style="1" bestFit="1" customWidth="1"/>
    <col min="6405" max="6652" width="14" style="1"/>
    <col min="6653" max="6653" width="5.140625" style="1" customWidth="1"/>
    <col min="6654" max="6654" width="14.7109375" style="1" customWidth="1"/>
    <col min="6655" max="6655" width="40.140625" style="1" customWidth="1"/>
    <col min="6656" max="6656" width="10.28515625" style="1" customWidth="1"/>
    <col min="6657" max="6657" width="11.42578125" style="1" customWidth="1"/>
    <col min="6658" max="6660" width="11.140625" style="1" bestFit="1" customWidth="1"/>
    <col min="6661" max="6908" width="14" style="1"/>
    <col min="6909" max="6909" width="5.140625" style="1" customWidth="1"/>
    <col min="6910" max="6910" width="14.7109375" style="1" customWidth="1"/>
    <col min="6911" max="6911" width="40.140625" style="1" customWidth="1"/>
    <col min="6912" max="6912" width="10.28515625" style="1" customWidth="1"/>
    <col min="6913" max="6913" width="11.42578125" style="1" customWidth="1"/>
    <col min="6914" max="6916" width="11.140625" style="1" bestFit="1" customWidth="1"/>
    <col min="6917" max="7164" width="14" style="1"/>
    <col min="7165" max="7165" width="5.140625" style="1" customWidth="1"/>
    <col min="7166" max="7166" width="14.7109375" style="1" customWidth="1"/>
    <col min="7167" max="7167" width="40.140625" style="1" customWidth="1"/>
    <col min="7168" max="7168" width="10.28515625" style="1" customWidth="1"/>
    <col min="7169" max="7169" width="11.42578125" style="1" customWidth="1"/>
    <col min="7170" max="7172" width="11.140625" style="1" bestFit="1" customWidth="1"/>
    <col min="7173" max="7420" width="14" style="1"/>
    <col min="7421" max="7421" width="5.140625" style="1" customWidth="1"/>
    <col min="7422" max="7422" width="14.7109375" style="1" customWidth="1"/>
    <col min="7423" max="7423" width="40.140625" style="1" customWidth="1"/>
    <col min="7424" max="7424" width="10.28515625" style="1" customWidth="1"/>
    <col min="7425" max="7425" width="11.42578125" style="1" customWidth="1"/>
    <col min="7426" max="7428" width="11.140625" style="1" bestFit="1" customWidth="1"/>
    <col min="7429" max="7676" width="14" style="1"/>
    <col min="7677" max="7677" width="5.140625" style="1" customWidth="1"/>
    <col min="7678" max="7678" width="14.7109375" style="1" customWidth="1"/>
    <col min="7679" max="7679" width="40.140625" style="1" customWidth="1"/>
    <col min="7680" max="7680" width="10.28515625" style="1" customWidth="1"/>
    <col min="7681" max="7681" width="11.42578125" style="1" customWidth="1"/>
    <col min="7682" max="7684" width="11.140625" style="1" bestFit="1" customWidth="1"/>
    <col min="7685" max="7932" width="14" style="1"/>
    <col min="7933" max="7933" width="5.140625" style="1" customWidth="1"/>
    <col min="7934" max="7934" width="14.7109375" style="1" customWidth="1"/>
    <col min="7935" max="7935" width="40.140625" style="1" customWidth="1"/>
    <col min="7936" max="7936" width="10.28515625" style="1" customWidth="1"/>
    <col min="7937" max="7937" width="11.42578125" style="1" customWidth="1"/>
    <col min="7938" max="7940" width="11.140625" style="1" bestFit="1" customWidth="1"/>
    <col min="7941" max="8188" width="14" style="1"/>
    <col min="8189" max="8189" width="5.140625" style="1" customWidth="1"/>
    <col min="8190" max="8190" width="14.7109375" style="1" customWidth="1"/>
    <col min="8191" max="8191" width="40.140625" style="1" customWidth="1"/>
    <col min="8192" max="8192" width="10.28515625" style="1" customWidth="1"/>
    <col min="8193" max="8193" width="11.42578125" style="1" customWidth="1"/>
    <col min="8194" max="8196" width="11.140625" style="1" bestFit="1" customWidth="1"/>
    <col min="8197" max="8444" width="14" style="1"/>
    <col min="8445" max="8445" width="5.140625" style="1" customWidth="1"/>
    <col min="8446" max="8446" width="14.7109375" style="1" customWidth="1"/>
    <col min="8447" max="8447" width="40.140625" style="1" customWidth="1"/>
    <col min="8448" max="8448" width="10.28515625" style="1" customWidth="1"/>
    <col min="8449" max="8449" width="11.42578125" style="1" customWidth="1"/>
    <col min="8450" max="8452" width="11.140625" style="1" bestFit="1" customWidth="1"/>
    <col min="8453" max="8700" width="14" style="1"/>
    <col min="8701" max="8701" width="5.140625" style="1" customWidth="1"/>
    <col min="8702" max="8702" width="14.7109375" style="1" customWidth="1"/>
    <col min="8703" max="8703" width="40.140625" style="1" customWidth="1"/>
    <col min="8704" max="8704" width="10.28515625" style="1" customWidth="1"/>
    <col min="8705" max="8705" width="11.42578125" style="1" customWidth="1"/>
    <col min="8706" max="8708" width="11.140625" style="1" bestFit="1" customWidth="1"/>
    <col min="8709" max="8956" width="14" style="1"/>
    <col min="8957" max="8957" width="5.140625" style="1" customWidth="1"/>
    <col min="8958" max="8958" width="14.7109375" style="1" customWidth="1"/>
    <col min="8959" max="8959" width="40.140625" style="1" customWidth="1"/>
    <col min="8960" max="8960" width="10.28515625" style="1" customWidth="1"/>
    <col min="8961" max="8961" width="11.42578125" style="1" customWidth="1"/>
    <col min="8962" max="8964" width="11.140625" style="1" bestFit="1" customWidth="1"/>
    <col min="8965" max="9212" width="14" style="1"/>
    <col min="9213" max="9213" width="5.140625" style="1" customWidth="1"/>
    <col min="9214" max="9214" width="14.7109375" style="1" customWidth="1"/>
    <col min="9215" max="9215" width="40.140625" style="1" customWidth="1"/>
    <col min="9216" max="9216" width="10.28515625" style="1" customWidth="1"/>
    <col min="9217" max="9217" width="11.42578125" style="1" customWidth="1"/>
    <col min="9218" max="9220" width="11.140625" style="1" bestFit="1" customWidth="1"/>
    <col min="9221" max="9468" width="14" style="1"/>
    <col min="9469" max="9469" width="5.140625" style="1" customWidth="1"/>
    <col min="9470" max="9470" width="14.7109375" style="1" customWidth="1"/>
    <col min="9471" max="9471" width="40.140625" style="1" customWidth="1"/>
    <col min="9472" max="9472" width="10.28515625" style="1" customWidth="1"/>
    <col min="9473" max="9473" width="11.42578125" style="1" customWidth="1"/>
    <col min="9474" max="9476" width="11.140625" style="1" bestFit="1" customWidth="1"/>
    <col min="9477" max="9724" width="14" style="1"/>
    <col min="9725" max="9725" width="5.140625" style="1" customWidth="1"/>
    <col min="9726" max="9726" width="14.7109375" style="1" customWidth="1"/>
    <col min="9727" max="9727" width="40.140625" style="1" customWidth="1"/>
    <col min="9728" max="9728" width="10.28515625" style="1" customWidth="1"/>
    <col min="9729" max="9729" width="11.42578125" style="1" customWidth="1"/>
    <col min="9730" max="9732" width="11.140625" style="1" bestFit="1" customWidth="1"/>
    <col min="9733" max="9980" width="14" style="1"/>
    <col min="9981" max="9981" width="5.140625" style="1" customWidth="1"/>
    <col min="9982" max="9982" width="14.7109375" style="1" customWidth="1"/>
    <col min="9983" max="9983" width="40.140625" style="1" customWidth="1"/>
    <col min="9984" max="9984" width="10.28515625" style="1" customWidth="1"/>
    <col min="9985" max="9985" width="11.42578125" style="1" customWidth="1"/>
    <col min="9986" max="9988" width="11.140625" style="1" bestFit="1" customWidth="1"/>
    <col min="9989" max="10236" width="14" style="1"/>
    <col min="10237" max="10237" width="5.140625" style="1" customWidth="1"/>
    <col min="10238" max="10238" width="14.7109375" style="1" customWidth="1"/>
    <col min="10239" max="10239" width="40.140625" style="1" customWidth="1"/>
    <col min="10240" max="10240" width="10.28515625" style="1" customWidth="1"/>
    <col min="10241" max="10241" width="11.42578125" style="1" customWidth="1"/>
    <col min="10242" max="10244" width="11.140625" style="1" bestFit="1" customWidth="1"/>
    <col min="10245" max="10492" width="14" style="1"/>
    <col min="10493" max="10493" width="5.140625" style="1" customWidth="1"/>
    <col min="10494" max="10494" width="14.7109375" style="1" customWidth="1"/>
    <col min="10495" max="10495" width="40.140625" style="1" customWidth="1"/>
    <col min="10496" max="10496" width="10.28515625" style="1" customWidth="1"/>
    <col min="10497" max="10497" width="11.42578125" style="1" customWidth="1"/>
    <col min="10498" max="10500" width="11.140625" style="1" bestFit="1" customWidth="1"/>
    <col min="10501" max="10748" width="14" style="1"/>
    <col min="10749" max="10749" width="5.140625" style="1" customWidth="1"/>
    <col min="10750" max="10750" width="14.7109375" style="1" customWidth="1"/>
    <col min="10751" max="10751" width="40.140625" style="1" customWidth="1"/>
    <col min="10752" max="10752" width="10.28515625" style="1" customWidth="1"/>
    <col min="10753" max="10753" width="11.42578125" style="1" customWidth="1"/>
    <col min="10754" max="10756" width="11.140625" style="1" bestFit="1" customWidth="1"/>
    <col min="10757" max="11004" width="14" style="1"/>
    <col min="11005" max="11005" width="5.140625" style="1" customWidth="1"/>
    <col min="11006" max="11006" width="14.7109375" style="1" customWidth="1"/>
    <col min="11007" max="11007" width="40.140625" style="1" customWidth="1"/>
    <col min="11008" max="11008" width="10.28515625" style="1" customWidth="1"/>
    <col min="11009" max="11009" width="11.42578125" style="1" customWidth="1"/>
    <col min="11010" max="11012" width="11.140625" style="1" bestFit="1" customWidth="1"/>
    <col min="11013" max="11260" width="14" style="1"/>
    <col min="11261" max="11261" width="5.140625" style="1" customWidth="1"/>
    <col min="11262" max="11262" width="14.7109375" style="1" customWidth="1"/>
    <col min="11263" max="11263" width="40.140625" style="1" customWidth="1"/>
    <col min="11264" max="11264" width="10.28515625" style="1" customWidth="1"/>
    <col min="11265" max="11265" width="11.42578125" style="1" customWidth="1"/>
    <col min="11266" max="11268" width="11.140625" style="1" bestFit="1" customWidth="1"/>
    <col min="11269" max="11516" width="14" style="1"/>
    <col min="11517" max="11517" width="5.140625" style="1" customWidth="1"/>
    <col min="11518" max="11518" width="14.7109375" style="1" customWidth="1"/>
    <col min="11519" max="11519" width="40.140625" style="1" customWidth="1"/>
    <col min="11520" max="11520" width="10.28515625" style="1" customWidth="1"/>
    <col min="11521" max="11521" width="11.42578125" style="1" customWidth="1"/>
    <col min="11522" max="11524" width="11.140625" style="1" bestFit="1" customWidth="1"/>
    <col min="11525" max="11772" width="14" style="1"/>
    <col min="11773" max="11773" width="5.140625" style="1" customWidth="1"/>
    <col min="11774" max="11774" width="14.7109375" style="1" customWidth="1"/>
    <col min="11775" max="11775" width="40.140625" style="1" customWidth="1"/>
    <col min="11776" max="11776" width="10.28515625" style="1" customWidth="1"/>
    <col min="11777" max="11777" width="11.42578125" style="1" customWidth="1"/>
    <col min="11778" max="11780" width="11.140625" style="1" bestFit="1" customWidth="1"/>
    <col min="11781" max="12028" width="14" style="1"/>
    <col min="12029" max="12029" width="5.140625" style="1" customWidth="1"/>
    <col min="12030" max="12030" width="14.7109375" style="1" customWidth="1"/>
    <col min="12031" max="12031" width="40.140625" style="1" customWidth="1"/>
    <col min="12032" max="12032" width="10.28515625" style="1" customWidth="1"/>
    <col min="12033" max="12033" width="11.42578125" style="1" customWidth="1"/>
    <col min="12034" max="12036" width="11.140625" style="1" bestFit="1" customWidth="1"/>
    <col min="12037" max="12284" width="14" style="1"/>
    <col min="12285" max="12285" width="5.140625" style="1" customWidth="1"/>
    <col min="12286" max="12286" width="14.7109375" style="1" customWidth="1"/>
    <col min="12287" max="12287" width="40.140625" style="1" customWidth="1"/>
    <col min="12288" max="12288" width="10.28515625" style="1" customWidth="1"/>
    <col min="12289" max="12289" width="11.42578125" style="1" customWidth="1"/>
    <col min="12290" max="12292" width="11.140625" style="1" bestFit="1" customWidth="1"/>
    <col min="12293" max="12540" width="14" style="1"/>
    <col min="12541" max="12541" width="5.140625" style="1" customWidth="1"/>
    <col min="12542" max="12542" width="14.7109375" style="1" customWidth="1"/>
    <col min="12543" max="12543" width="40.140625" style="1" customWidth="1"/>
    <col min="12544" max="12544" width="10.28515625" style="1" customWidth="1"/>
    <col min="12545" max="12545" width="11.42578125" style="1" customWidth="1"/>
    <col min="12546" max="12548" width="11.140625" style="1" bestFit="1" customWidth="1"/>
    <col min="12549" max="12796" width="14" style="1"/>
    <col min="12797" max="12797" width="5.140625" style="1" customWidth="1"/>
    <col min="12798" max="12798" width="14.7109375" style="1" customWidth="1"/>
    <col min="12799" max="12799" width="40.140625" style="1" customWidth="1"/>
    <col min="12800" max="12800" width="10.28515625" style="1" customWidth="1"/>
    <col min="12801" max="12801" width="11.42578125" style="1" customWidth="1"/>
    <col min="12802" max="12804" width="11.140625" style="1" bestFit="1" customWidth="1"/>
    <col min="12805" max="13052" width="14" style="1"/>
    <col min="13053" max="13053" width="5.140625" style="1" customWidth="1"/>
    <col min="13054" max="13054" width="14.7109375" style="1" customWidth="1"/>
    <col min="13055" max="13055" width="40.140625" style="1" customWidth="1"/>
    <col min="13056" max="13056" width="10.28515625" style="1" customWidth="1"/>
    <col min="13057" max="13057" width="11.42578125" style="1" customWidth="1"/>
    <col min="13058" max="13060" width="11.140625" style="1" bestFit="1" customWidth="1"/>
    <col min="13061" max="13308" width="14" style="1"/>
    <col min="13309" max="13309" width="5.140625" style="1" customWidth="1"/>
    <col min="13310" max="13310" width="14.7109375" style="1" customWidth="1"/>
    <col min="13311" max="13311" width="40.140625" style="1" customWidth="1"/>
    <col min="13312" max="13312" width="10.28515625" style="1" customWidth="1"/>
    <col min="13313" max="13313" width="11.42578125" style="1" customWidth="1"/>
    <col min="13314" max="13316" width="11.140625" style="1" bestFit="1" customWidth="1"/>
    <col min="13317" max="13564" width="14" style="1"/>
    <col min="13565" max="13565" width="5.140625" style="1" customWidth="1"/>
    <col min="13566" max="13566" width="14.7109375" style="1" customWidth="1"/>
    <col min="13567" max="13567" width="40.140625" style="1" customWidth="1"/>
    <col min="13568" max="13568" width="10.28515625" style="1" customWidth="1"/>
    <col min="13569" max="13569" width="11.42578125" style="1" customWidth="1"/>
    <col min="13570" max="13572" width="11.140625" style="1" bestFit="1" customWidth="1"/>
    <col min="13573" max="13820" width="14" style="1"/>
    <col min="13821" max="13821" width="5.140625" style="1" customWidth="1"/>
    <col min="13822" max="13822" width="14.7109375" style="1" customWidth="1"/>
    <col min="13823" max="13823" width="40.140625" style="1" customWidth="1"/>
    <col min="13824" max="13824" width="10.28515625" style="1" customWidth="1"/>
    <col min="13825" max="13825" width="11.42578125" style="1" customWidth="1"/>
    <col min="13826" max="13828" width="11.140625" style="1" bestFit="1" customWidth="1"/>
    <col min="13829" max="14076" width="14" style="1"/>
    <col min="14077" max="14077" width="5.140625" style="1" customWidth="1"/>
    <col min="14078" max="14078" width="14.7109375" style="1" customWidth="1"/>
    <col min="14079" max="14079" width="40.140625" style="1" customWidth="1"/>
    <col min="14080" max="14080" width="10.28515625" style="1" customWidth="1"/>
    <col min="14081" max="14081" width="11.42578125" style="1" customWidth="1"/>
    <col min="14082" max="14084" width="11.140625" style="1" bestFit="1" customWidth="1"/>
    <col min="14085" max="14332" width="14" style="1"/>
    <col min="14333" max="14333" width="5.140625" style="1" customWidth="1"/>
    <col min="14334" max="14334" width="14.7109375" style="1" customWidth="1"/>
    <col min="14335" max="14335" width="40.140625" style="1" customWidth="1"/>
    <col min="14336" max="14336" width="10.28515625" style="1" customWidth="1"/>
    <col min="14337" max="14337" width="11.42578125" style="1" customWidth="1"/>
    <col min="14338" max="14340" width="11.140625" style="1" bestFit="1" customWidth="1"/>
    <col min="14341" max="14588" width="14" style="1"/>
    <col min="14589" max="14589" width="5.140625" style="1" customWidth="1"/>
    <col min="14590" max="14590" width="14.7109375" style="1" customWidth="1"/>
    <col min="14591" max="14591" width="40.140625" style="1" customWidth="1"/>
    <col min="14592" max="14592" width="10.28515625" style="1" customWidth="1"/>
    <col min="14593" max="14593" width="11.42578125" style="1" customWidth="1"/>
    <col min="14594" max="14596" width="11.140625" style="1" bestFit="1" customWidth="1"/>
    <col min="14597" max="14844" width="14" style="1"/>
    <col min="14845" max="14845" width="5.140625" style="1" customWidth="1"/>
    <col min="14846" max="14846" width="14.7109375" style="1" customWidth="1"/>
    <col min="14847" max="14847" width="40.140625" style="1" customWidth="1"/>
    <col min="14848" max="14848" width="10.28515625" style="1" customWidth="1"/>
    <col min="14849" max="14849" width="11.42578125" style="1" customWidth="1"/>
    <col min="14850" max="14852" width="11.140625" style="1" bestFit="1" customWidth="1"/>
    <col min="14853" max="15100" width="14" style="1"/>
    <col min="15101" max="15101" width="5.140625" style="1" customWidth="1"/>
    <col min="15102" max="15102" width="14.7109375" style="1" customWidth="1"/>
    <col min="15103" max="15103" width="40.140625" style="1" customWidth="1"/>
    <col min="15104" max="15104" width="10.28515625" style="1" customWidth="1"/>
    <col min="15105" max="15105" width="11.42578125" style="1" customWidth="1"/>
    <col min="15106" max="15108" width="11.140625" style="1" bestFit="1" customWidth="1"/>
    <col min="15109" max="15356" width="14" style="1"/>
    <col min="15357" max="15357" width="5.140625" style="1" customWidth="1"/>
    <col min="15358" max="15358" width="14.7109375" style="1" customWidth="1"/>
    <col min="15359" max="15359" width="40.140625" style="1" customWidth="1"/>
    <col min="15360" max="15360" width="10.28515625" style="1" customWidth="1"/>
    <col min="15361" max="15361" width="11.42578125" style="1" customWidth="1"/>
    <col min="15362" max="15364" width="11.140625" style="1" bestFit="1" customWidth="1"/>
    <col min="15365" max="15612" width="14" style="1"/>
    <col min="15613" max="15613" width="5.140625" style="1" customWidth="1"/>
    <col min="15614" max="15614" width="14.7109375" style="1" customWidth="1"/>
    <col min="15615" max="15615" width="40.140625" style="1" customWidth="1"/>
    <col min="15616" max="15616" width="10.28515625" style="1" customWidth="1"/>
    <col min="15617" max="15617" width="11.42578125" style="1" customWidth="1"/>
    <col min="15618" max="15620" width="11.140625" style="1" bestFit="1" customWidth="1"/>
    <col min="15621" max="15868" width="14" style="1"/>
    <col min="15869" max="15869" width="5.140625" style="1" customWidth="1"/>
    <col min="15870" max="15870" width="14.7109375" style="1" customWidth="1"/>
    <col min="15871" max="15871" width="40.140625" style="1" customWidth="1"/>
    <col min="15872" max="15872" width="10.28515625" style="1" customWidth="1"/>
    <col min="15873" max="15873" width="11.42578125" style="1" customWidth="1"/>
    <col min="15874" max="15876" width="11.140625" style="1" bestFit="1" customWidth="1"/>
    <col min="15877" max="16124" width="14" style="1"/>
    <col min="16125" max="16125" width="5.140625" style="1" customWidth="1"/>
    <col min="16126" max="16126" width="14.7109375" style="1" customWidth="1"/>
    <col min="16127" max="16127" width="40.140625" style="1" customWidth="1"/>
    <col min="16128" max="16128" width="10.28515625" style="1" customWidth="1"/>
    <col min="16129" max="16129" width="11.42578125" style="1" customWidth="1"/>
    <col min="16130" max="16132" width="11.140625" style="1" bestFit="1" customWidth="1"/>
    <col min="16133" max="16384" width="14" style="1"/>
  </cols>
  <sheetData>
    <row r="1" spans="1:31" ht="15.75">
      <c r="A1" s="1139" t="s">
        <v>658</v>
      </c>
      <c r="B1" s="1139"/>
      <c r="C1" s="629" t="s">
        <v>724</v>
      </c>
      <c r="D1" s="630"/>
      <c r="E1" s="630"/>
      <c r="F1" s="630"/>
      <c r="G1" s="630"/>
      <c r="H1" s="630"/>
      <c r="I1" s="630"/>
    </row>
    <row r="2" spans="1:31" ht="15.75">
      <c r="A2" s="1139" t="s">
        <v>659</v>
      </c>
      <c r="B2" s="1139"/>
      <c r="C2" s="592"/>
      <c r="D2" s="593"/>
      <c r="E2" s="594"/>
      <c r="F2" s="594"/>
      <c r="G2" s="594"/>
      <c r="H2" s="594"/>
      <c r="I2" s="627"/>
    </row>
    <row r="3" spans="1:31">
      <c r="A3" s="595"/>
      <c r="B3" s="595"/>
      <c r="C3" s="592"/>
      <c r="D3" s="593"/>
      <c r="E3" s="596"/>
      <c r="F3" s="596"/>
      <c r="G3" s="596"/>
      <c r="H3" s="596"/>
      <c r="I3" s="596"/>
    </row>
    <row r="4" spans="1:31" ht="17.25" customHeight="1">
      <c r="A4" s="1140" t="s">
        <v>679</v>
      </c>
      <c r="B4" s="1140"/>
      <c r="C4" s="1140"/>
      <c r="D4" s="1140"/>
      <c r="E4" s="1140"/>
      <c r="F4" s="1140"/>
      <c r="G4" s="1140"/>
      <c r="H4" s="1140"/>
      <c r="I4" s="1140"/>
    </row>
    <row r="5" spans="1:31" ht="33" customHeight="1" thickBot="1">
      <c r="A5" s="631" t="s">
        <v>719</v>
      </c>
      <c r="B5" s="631"/>
      <c r="C5" s="631"/>
      <c r="D5" s="631"/>
      <c r="E5" s="631"/>
      <c r="F5" s="631"/>
      <c r="G5" s="631"/>
      <c r="H5" s="631"/>
      <c r="I5" s="631"/>
      <c r="J5" s="591"/>
    </row>
    <row r="6" spans="1:31" ht="14.25" hidden="1" customHeight="1" thickBot="1">
      <c r="A6" s="597"/>
      <c r="B6" s="598"/>
      <c r="C6" s="593"/>
      <c r="D6" s="598" t="e">
        <f>#REF!+#REF!</f>
        <v>#REF!</v>
      </c>
      <c r="E6" s="599"/>
      <c r="F6" s="599"/>
      <c r="G6" s="599"/>
      <c r="H6" s="599"/>
      <c r="I6" s="600"/>
    </row>
    <row r="7" spans="1:31" ht="16.149999999999999" hidden="1" customHeight="1">
      <c r="A7" s="601"/>
      <c r="B7" s="602"/>
      <c r="C7" s="603"/>
      <c r="D7" s="604" t="s">
        <v>675</v>
      </c>
      <c r="E7" s="604"/>
      <c r="F7" s="604"/>
      <c r="G7" s="604"/>
      <c r="H7" s="604"/>
      <c r="I7" s="605">
        <f>I13-I192</f>
        <v>0.23887475609466019</v>
      </c>
    </row>
    <row r="8" spans="1:31" ht="16.149999999999999" hidden="1" customHeight="1">
      <c r="A8" s="601"/>
      <c r="B8" s="602"/>
      <c r="C8" s="603"/>
      <c r="D8" s="606" t="s">
        <v>664</v>
      </c>
      <c r="E8" s="606"/>
      <c r="F8" s="606"/>
      <c r="G8" s="606"/>
      <c r="H8" s="606"/>
      <c r="I8" s="607">
        <f t="shared" ref="I8" si="0">I629-I782</f>
        <v>0.18675360384333928</v>
      </c>
      <c r="K8" s="100"/>
      <c r="L8" s="100"/>
    </row>
    <row r="9" spans="1:31" ht="16.149999999999999" hidden="1" customHeight="1">
      <c r="A9" s="601"/>
      <c r="B9" s="602"/>
      <c r="C9" s="603"/>
      <c r="D9" s="608" t="s">
        <v>665</v>
      </c>
      <c r="E9" s="608"/>
      <c r="F9" s="608"/>
      <c r="G9" s="608"/>
      <c r="H9" s="608"/>
      <c r="I9" s="609">
        <f>I1014-I1161</f>
        <v>0.20286749412176713</v>
      </c>
    </row>
    <row r="10" spans="1:31" s="338" customFormat="1" ht="16.149999999999999" customHeight="1">
      <c r="A10" s="1141" t="s">
        <v>657</v>
      </c>
      <c r="B10" s="1142"/>
      <c r="C10" s="1143"/>
      <c r="D10" s="1147" t="s">
        <v>656</v>
      </c>
      <c r="E10" s="632" t="s">
        <v>707</v>
      </c>
      <c r="F10" s="632" t="s">
        <v>722</v>
      </c>
      <c r="G10" s="1153" t="s">
        <v>680</v>
      </c>
      <c r="H10" s="1155" t="s">
        <v>681</v>
      </c>
      <c r="I10" s="1151" t="s">
        <v>682</v>
      </c>
      <c r="J10" s="532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</row>
    <row r="11" spans="1:31" s="378" customFormat="1" ht="22.9" customHeight="1">
      <c r="A11" s="1144"/>
      <c r="B11" s="1145"/>
      <c r="C11" s="1146"/>
      <c r="D11" s="1148"/>
      <c r="E11" s="633"/>
      <c r="F11" s="633"/>
      <c r="G11" s="1154"/>
      <c r="H11" s="1156"/>
      <c r="I11" s="1152"/>
      <c r="J11" s="533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</row>
    <row r="12" spans="1:31" s="378" customFormat="1" ht="11.45" customHeight="1">
      <c r="A12" s="1157">
        <v>0</v>
      </c>
      <c r="B12" s="1158"/>
      <c r="C12" s="1158"/>
      <c r="D12" s="381">
        <v>1</v>
      </c>
      <c r="E12" s="380">
        <v>2</v>
      </c>
      <c r="F12" s="380">
        <v>3</v>
      </c>
      <c r="G12" s="380">
        <v>4</v>
      </c>
      <c r="H12" s="380">
        <v>5</v>
      </c>
      <c r="I12" s="610" t="s">
        <v>723</v>
      </c>
      <c r="J12" s="533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</row>
    <row r="13" spans="1:31" s="245" customFormat="1" ht="21" customHeight="1">
      <c r="A13" s="1071" t="s">
        <v>655</v>
      </c>
      <c r="B13" s="1072"/>
      <c r="C13" s="1072"/>
      <c r="D13" s="220" t="s">
        <v>381</v>
      </c>
      <c r="E13" s="23">
        <f>E15+E121+E128+E137+E173+E171+E172</f>
        <v>414993000</v>
      </c>
      <c r="F13" s="23">
        <f>F15+F121+F128+F137+F173+F171+F172</f>
        <v>238040000</v>
      </c>
      <c r="G13" s="101">
        <f>G15+G121+G128+G137+G173+G171+G172</f>
        <v>139212058.51000002</v>
      </c>
      <c r="H13" s="101">
        <f>H15+H121+H128+H137+H173+H171+H172</f>
        <v>139212058.51000002</v>
      </c>
      <c r="I13" s="611">
        <f t="shared" ref="I13:I49" si="1">H13/F13</f>
        <v>0.58482632544950441</v>
      </c>
      <c r="J13" s="534"/>
      <c r="K13" s="246"/>
      <c r="L13" s="246"/>
      <c r="M13" s="499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</row>
    <row r="14" spans="1:31" s="245" customFormat="1" ht="15" customHeight="1">
      <c r="A14" s="1064" t="s">
        <v>654</v>
      </c>
      <c r="B14" s="1065"/>
      <c r="C14" s="1065"/>
      <c r="D14" s="377" t="s">
        <v>117</v>
      </c>
      <c r="E14" s="139">
        <f t="shared" ref="E14" si="2">E15-E39+E121-E116</f>
        <v>98944000</v>
      </c>
      <c r="F14" s="139">
        <f t="shared" ref="F14:H14" si="3">F15-F39+F121-F116</f>
        <v>53310000</v>
      </c>
      <c r="G14" s="304">
        <f t="shared" si="3"/>
        <v>55140598.370000012</v>
      </c>
      <c r="H14" s="304">
        <f t="shared" si="3"/>
        <v>55140598.370000012</v>
      </c>
      <c r="I14" s="612">
        <f t="shared" si="1"/>
        <v>1.034338742637404</v>
      </c>
      <c r="J14" s="534"/>
      <c r="K14" s="246"/>
      <c r="L14" s="246"/>
      <c r="M14" s="492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</row>
    <row r="15" spans="1:31" ht="15" customHeight="1">
      <c r="A15" s="1105" t="s">
        <v>653</v>
      </c>
      <c r="B15" s="1106"/>
      <c r="C15" s="1106"/>
      <c r="D15" s="376" t="s">
        <v>378</v>
      </c>
      <c r="E15" s="187">
        <f t="shared" ref="E15" si="4">E16+E65</f>
        <v>201512000</v>
      </c>
      <c r="F15" s="187">
        <f t="shared" ref="F15:H15" si="5">F16+F65</f>
        <v>102297000</v>
      </c>
      <c r="G15" s="334">
        <f t="shared" si="5"/>
        <v>90295336.100000009</v>
      </c>
      <c r="H15" s="334">
        <f t="shared" si="5"/>
        <v>90295336.100000009</v>
      </c>
      <c r="I15" s="613">
        <f t="shared" si="1"/>
        <v>0.88267824178617171</v>
      </c>
      <c r="M15" s="492"/>
      <c r="N15" s="100"/>
    </row>
    <row r="16" spans="1:31" ht="15" customHeight="1">
      <c r="A16" s="1105" t="s">
        <v>652</v>
      </c>
      <c r="B16" s="1106"/>
      <c r="C16" s="1106"/>
      <c r="D16" s="376" t="s">
        <v>376</v>
      </c>
      <c r="E16" s="135">
        <f t="shared" ref="E16:F16" si="6">E17+E29+E38+E62+E32</f>
        <v>191196000</v>
      </c>
      <c r="F16" s="135">
        <f t="shared" si="6"/>
        <v>97879000</v>
      </c>
      <c r="G16" s="233">
        <f>G17+G38+G62</f>
        <v>85696985.340000004</v>
      </c>
      <c r="H16" s="233">
        <f>H17+H38+H62</f>
        <v>85696985.340000004</v>
      </c>
      <c r="I16" s="613">
        <f t="shared" si="1"/>
        <v>0.87554005803083401</v>
      </c>
      <c r="M16" s="492"/>
    </row>
    <row r="17" spans="1:113" ht="15" customHeight="1">
      <c r="A17" s="1095" t="s">
        <v>375</v>
      </c>
      <c r="B17" s="1096"/>
      <c r="C17" s="1097"/>
      <c r="D17" s="376" t="s">
        <v>374</v>
      </c>
      <c r="E17" s="135">
        <f t="shared" ref="E17" si="7">E18+E22+E26</f>
        <v>86883000</v>
      </c>
      <c r="F17" s="135">
        <f t="shared" ref="F17:H17" si="8">F18+F22+F26</f>
        <v>48112000</v>
      </c>
      <c r="G17" s="233">
        <f t="shared" si="8"/>
        <v>49308079.439999998</v>
      </c>
      <c r="H17" s="233">
        <f t="shared" si="8"/>
        <v>49308079.439999998</v>
      </c>
      <c r="I17" s="613">
        <f t="shared" si="1"/>
        <v>1.024860314266711</v>
      </c>
      <c r="M17" s="492"/>
    </row>
    <row r="18" spans="1:113" ht="25.15" customHeight="1">
      <c r="A18" s="1149" t="s">
        <v>516</v>
      </c>
      <c r="B18" s="1150"/>
      <c r="C18" s="1150"/>
      <c r="D18" s="376" t="s">
        <v>372</v>
      </c>
      <c r="E18" s="135">
        <f t="shared" ref="E18:H20" si="9">E19</f>
        <v>500000</v>
      </c>
      <c r="F18" s="135">
        <f t="shared" si="9"/>
        <v>500000</v>
      </c>
      <c r="G18" s="233">
        <f t="shared" si="9"/>
        <v>500000</v>
      </c>
      <c r="H18" s="233">
        <f t="shared" si="9"/>
        <v>500000</v>
      </c>
      <c r="I18" s="613">
        <f t="shared" si="1"/>
        <v>1</v>
      </c>
      <c r="M18" s="492"/>
    </row>
    <row r="19" spans="1:113" ht="15" customHeight="1">
      <c r="A19" s="1105" t="s">
        <v>371</v>
      </c>
      <c r="B19" s="1106"/>
      <c r="C19" s="1106"/>
      <c r="D19" s="363" t="s">
        <v>370</v>
      </c>
      <c r="E19" s="135">
        <f t="shared" si="9"/>
        <v>500000</v>
      </c>
      <c r="F19" s="135">
        <f t="shared" si="9"/>
        <v>500000</v>
      </c>
      <c r="G19" s="233">
        <f t="shared" si="9"/>
        <v>500000</v>
      </c>
      <c r="H19" s="233">
        <f t="shared" si="9"/>
        <v>500000</v>
      </c>
      <c r="I19" s="613">
        <f t="shared" si="1"/>
        <v>1</v>
      </c>
      <c r="M19" s="492"/>
    </row>
    <row r="20" spans="1:113" ht="15" customHeight="1">
      <c r="A20" s="346"/>
      <c r="B20" s="1043" t="s">
        <v>369</v>
      </c>
      <c r="C20" s="962"/>
      <c r="D20" s="363" t="s">
        <v>368</v>
      </c>
      <c r="E20" s="137">
        <f t="shared" si="9"/>
        <v>500000</v>
      </c>
      <c r="F20" s="137">
        <f t="shared" si="9"/>
        <v>500000</v>
      </c>
      <c r="G20" s="229">
        <f t="shared" si="9"/>
        <v>500000</v>
      </c>
      <c r="H20" s="229">
        <f t="shared" si="9"/>
        <v>500000</v>
      </c>
      <c r="I20" s="613">
        <f t="shared" si="1"/>
        <v>1</v>
      </c>
      <c r="M20" s="492"/>
      <c r="N20" s="100"/>
    </row>
    <row r="21" spans="1:113" s="2" customFormat="1" ht="15" customHeight="1">
      <c r="A21" s="200"/>
      <c r="B21" s="1043" t="s">
        <v>651</v>
      </c>
      <c r="C21" s="962"/>
      <c r="D21" s="568" t="s">
        <v>44</v>
      </c>
      <c r="E21" s="137">
        <v>500000</v>
      </c>
      <c r="F21" s="137">
        <v>500000</v>
      </c>
      <c r="G21" s="229">
        <v>500000</v>
      </c>
      <c r="H21" s="229">
        <v>500000</v>
      </c>
      <c r="I21" s="613">
        <f t="shared" si="1"/>
        <v>1</v>
      </c>
      <c r="J21" s="531"/>
      <c r="M21" s="492"/>
      <c r="N21" s="10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s="2" customFormat="1" ht="27" customHeight="1">
      <c r="A22" s="1137" t="s">
        <v>367</v>
      </c>
      <c r="B22" s="1138"/>
      <c r="C22" s="1138"/>
      <c r="D22" s="376" t="s">
        <v>366</v>
      </c>
      <c r="E22" s="135">
        <f t="shared" ref="E22:H22" si="10">E23</f>
        <v>86378000</v>
      </c>
      <c r="F22" s="135">
        <f t="shared" si="10"/>
        <v>47609000</v>
      </c>
      <c r="G22" s="233">
        <f t="shared" si="10"/>
        <v>48804062.439999998</v>
      </c>
      <c r="H22" s="233">
        <f t="shared" si="10"/>
        <v>48804062.439999998</v>
      </c>
      <c r="I22" s="613">
        <f t="shared" si="1"/>
        <v>1.0251016076792203</v>
      </c>
      <c r="J22" s="531"/>
      <c r="M22" s="49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s="2" customFormat="1" ht="16.899999999999999" customHeight="1">
      <c r="A23" s="1095" t="s">
        <v>365</v>
      </c>
      <c r="B23" s="1096"/>
      <c r="C23" s="1097"/>
      <c r="D23" s="361" t="s">
        <v>364</v>
      </c>
      <c r="E23" s="187">
        <f t="shared" ref="E23" si="11">E24+E25</f>
        <v>86378000</v>
      </c>
      <c r="F23" s="187">
        <f t="shared" ref="F23:H23" si="12">F24+F25</f>
        <v>47609000</v>
      </c>
      <c r="G23" s="334">
        <f t="shared" si="12"/>
        <v>48804062.439999998</v>
      </c>
      <c r="H23" s="334">
        <f t="shared" si="12"/>
        <v>48804062.439999998</v>
      </c>
      <c r="I23" s="613">
        <f t="shared" si="1"/>
        <v>1.0251016076792203</v>
      </c>
      <c r="J23" s="531"/>
      <c r="M23" s="49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s="2" customFormat="1" ht="15.6" customHeight="1">
      <c r="A24" s="614">
        <v>0.1125</v>
      </c>
      <c r="B24" s="971" t="s">
        <v>363</v>
      </c>
      <c r="C24" s="971"/>
      <c r="D24" s="375" t="s">
        <v>362</v>
      </c>
      <c r="E24" s="413">
        <v>75766000</v>
      </c>
      <c r="F24" s="413">
        <f>20351000+21953000</f>
        <v>42304000</v>
      </c>
      <c r="G24" s="433">
        <v>42810531.479999997</v>
      </c>
      <c r="H24" s="433">
        <v>42810531.479999997</v>
      </c>
      <c r="I24" s="613">
        <f t="shared" si="1"/>
        <v>1.0119736072239032</v>
      </c>
      <c r="J24" s="531"/>
      <c r="M24" s="49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s="2" customFormat="1" ht="25.9" customHeight="1">
      <c r="A25" s="374">
        <v>0.185</v>
      </c>
      <c r="B25" s="863" t="s">
        <v>361</v>
      </c>
      <c r="C25" s="863"/>
      <c r="D25" s="373" t="s">
        <v>360</v>
      </c>
      <c r="E25" s="387">
        <v>10612000</v>
      </c>
      <c r="F25" s="387">
        <v>5305000</v>
      </c>
      <c r="G25" s="434">
        <v>5993530.96</v>
      </c>
      <c r="H25" s="434">
        <v>5993530.96</v>
      </c>
      <c r="I25" s="613">
        <f t="shared" si="1"/>
        <v>1.1297890593779454</v>
      </c>
      <c r="J25" s="531"/>
      <c r="M25" s="492"/>
    </row>
    <row r="26" spans="1:113" s="2" customFormat="1" ht="16.899999999999999" customHeight="1">
      <c r="A26" s="1095" t="s">
        <v>650</v>
      </c>
      <c r="B26" s="1096"/>
      <c r="C26" s="1097"/>
      <c r="D26" s="228" t="s">
        <v>358</v>
      </c>
      <c r="E26" s="187">
        <f t="shared" ref="E26:H27" si="13">E27</f>
        <v>5000</v>
      </c>
      <c r="F26" s="187">
        <f t="shared" si="13"/>
        <v>3000</v>
      </c>
      <c r="G26" s="334">
        <f t="shared" si="13"/>
        <v>4017</v>
      </c>
      <c r="H26" s="334">
        <f t="shared" si="13"/>
        <v>4017</v>
      </c>
      <c r="I26" s="613">
        <f t="shared" si="1"/>
        <v>1.339</v>
      </c>
      <c r="J26" s="531"/>
      <c r="M26" s="49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s="2" customFormat="1" ht="15" customHeight="1">
      <c r="A27" s="1095" t="s">
        <v>357</v>
      </c>
      <c r="B27" s="1096"/>
      <c r="C27" s="1097"/>
      <c r="D27" s="363" t="s">
        <v>356</v>
      </c>
      <c r="E27" s="135">
        <f t="shared" si="13"/>
        <v>5000</v>
      </c>
      <c r="F27" s="135">
        <f t="shared" si="13"/>
        <v>3000</v>
      </c>
      <c r="G27" s="233">
        <f t="shared" si="13"/>
        <v>4017</v>
      </c>
      <c r="H27" s="233">
        <f t="shared" si="13"/>
        <v>4017</v>
      </c>
      <c r="I27" s="613">
        <f t="shared" si="1"/>
        <v>1.339</v>
      </c>
      <c r="J27" s="531"/>
      <c r="M27" s="492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s="2" customFormat="1" ht="14.45" customHeight="1">
      <c r="A28" s="200"/>
      <c r="B28" s="863" t="s">
        <v>355</v>
      </c>
      <c r="C28" s="863"/>
      <c r="D28" s="211" t="s">
        <v>354</v>
      </c>
      <c r="E28" s="137">
        <v>5000</v>
      </c>
      <c r="F28" s="137">
        <v>3000</v>
      </c>
      <c r="G28" s="229">
        <v>4017</v>
      </c>
      <c r="H28" s="229">
        <v>4017</v>
      </c>
      <c r="I28" s="613">
        <f t="shared" si="1"/>
        <v>1.339</v>
      </c>
      <c r="J28" s="531"/>
      <c r="M28" s="49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s="2" customFormat="1" ht="15" hidden="1" customHeight="1">
      <c r="A29" s="346" t="s">
        <v>353</v>
      </c>
      <c r="B29" s="372"/>
      <c r="C29" s="224"/>
      <c r="D29" s="228" t="s">
        <v>352</v>
      </c>
      <c r="E29" s="137"/>
      <c r="F29" s="137"/>
      <c r="G29" s="229">
        <v>6156.5</v>
      </c>
      <c r="H29" s="229"/>
      <c r="I29" s="613" t="e">
        <f t="shared" si="1"/>
        <v>#DIV/0!</v>
      </c>
      <c r="J29" s="531"/>
      <c r="M29" s="49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s="2" customFormat="1" ht="15" hidden="1" customHeight="1">
      <c r="A30" s="346" t="s">
        <v>351</v>
      </c>
      <c r="B30" s="222"/>
      <c r="C30" s="354"/>
      <c r="D30" s="363" t="s">
        <v>350</v>
      </c>
      <c r="E30" s="137"/>
      <c r="F30" s="137"/>
      <c r="G30" s="229">
        <v>6156.5</v>
      </c>
      <c r="H30" s="229"/>
      <c r="I30" s="613" t="e">
        <f t="shared" si="1"/>
        <v>#DIV/0!</v>
      </c>
      <c r="J30" s="531"/>
      <c r="M30" s="49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s="2" customFormat="1" ht="15" hidden="1" customHeight="1">
      <c r="A31" s="346"/>
      <c r="B31" s="224" t="s">
        <v>349</v>
      </c>
      <c r="C31" s="222"/>
      <c r="D31" s="363" t="s">
        <v>348</v>
      </c>
      <c r="E31" s="137"/>
      <c r="F31" s="137"/>
      <c r="G31" s="229">
        <v>6156.5</v>
      </c>
      <c r="H31" s="229"/>
      <c r="I31" s="613" t="e">
        <f t="shared" si="1"/>
        <v>#DIV/0!</v>
      </c>
      <c r="J31" s="531"/>
      <c r="M31" s="49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s="2" customFormat="1" ht="15" hidden="1" customHeight="1">
      <c r="A32" s="346" t="s">
        <v>347</v>
      </c>
      <c r="B32" s="224"/>
      <c r="C32" s="372"/>
      <c r="D32" s="228" t="s">
        <v>346</v>
      </c>
      <c r="E32" s="137"/>
      <c r="F32" s="137"/>
      <c r="G32" s="229">
        <v>6156.5</v>
      </c>
      <c r="H32" s="229"/>
      <c r="I32" s="613" t="e">
        <f t="shared" si="1"/>
        <v>#DIV/0!</v>
      </c>
      <c r="J32" s="531"/>
      <c r="M32" s="49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s="2" customFormat="1" ht="15" hidden="1" customHeight="1">
      <c r="A33" s="346" t="s">
        <v>345</v>
      </c>
      <c r="B33" s="222"/>
      <c r="C33" s="224"/>
      <c r="D33" s="371" t="s">
        <v>344</v>
      </c>
      <c r="E33" s="137"/>
      <c r="F33" s="137"/>
      <c r="G33" s="229">
        <v>6156.5</v>
      </c>
      <c r="H33" s="229"/>
      <c r="I33" s="613" t="e">
        <f t="shared" si="1"/>
        <v>#DIV/0!</v>
      </c>
      <c r="J33" s="531"/>
      <c r="M33" s="49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s="2" customFormat="1" ht="15" hidden="1" customHeight="1">
      <c r="A34" s="350"/>
      <c r="B34" s="224" t="s">
        <v>343</v>
      </c>
      <c r="C34" s="222"/>
      <c r="D34" s="371" t="s">
        <v>342</v>
      </c>
      <c r="E34" s="137"/>
      <c r="F34" s="137"/>
      <c r="G34" s="229">
        <v>6156.5</v>
      </c>
      <c r="H34" s="229"/>
      <c r="I34" s="613" t="e">
        <f t="shared" si="1"/>
        <v>#DIV/0!</v>
      </c>
      <c r="J34" s="531"/>
      <c r="M34" s="49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s="2" customFormat="1" ht="15" hidden="1" customHeight="1">
      <c r="A35" s="350"/>
      <c r="B35" s="224" t="s">
        <v>341</v>
      </c>
      <c r="C35" s="222"/>
      <c r="D35" s="371" t="s">
        <v>340</v>
      </c>
      <c r="E35" s="137"/>
      <c r="F35" s="137"/>
      <c r="G35" s="229">
        <v>6156.5</v>
      </c>
      <c r="H35" s="229"/>
      <c r="I35" s="613" t="e">
        <f t="shared" si="1"/>
        <v>#DIV/0!</v>
      </c>
      <c r="J35" s="531"/>
      <c r="M35" s="49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s="2" customFormat="1" ht="15" hidden="1" customHeight="1">
      <c r="A36" s="350"/>
      <c r="B36" s="1087" t="s">
        <v>339</v>
      </c>
      <c r="C36" s="1087"/>
      <c r="D36" s="371" t="s">
        <v>338</v>
      </c>
      <c r="E36" s="137"/>
      <c r="F36" s="137"/>
      <c r="G36" s="229">
        <v>6156.5</v>
      </c>
      <c r="H36" s="229"/>
      <c r="I36" s="613" t="e">
        <f t="shared" si="1"/>
        <v>#DIV/0!</v>
      </c>
      <c r="J36" s="531"/>
      <c r="M36" s="49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15" hidden="1" customHeight="1">
      <c r="A37" s="350"/>
      <c r="B37" s="224" t="s">
        <v>337</v>
      </c>
      <c r="C37" s="222"/>
      <c r="D37" s="371" t="s">
        <v>336</v>
      </c>
      <c r="E37" s="137"/>
      <c r="F37" s="137"/>
      <c r="G37" s="229">
        <v>6156.5</v>
      </c>
      <c r="H37" s="229"/>
      <c r="I37" s="613" t="e">
        <f t="shared" si="1"/>
        <v>#DIV/0!</v>
      </c>
      <c r="M37" s="492"/>
    </row>
    <row r="38" spans="1:113" s="338" customFormat="1" ht="27.6" customHeight="1">
      <c r="A38" s="1132" t="s">
        <v>649</v>
      </c>
      <c r="B38" s="1133"/>
      <c r="C38" s="1134"/>
      <c r="D38" s="228" t="s">
        <v>334</v>
      </c>
      <c r="E38" s="187">
        <f t="shared" ref="E38" si="14">E39+E53+E56</f>
        <v>104313000</v>
      </c>
      <c r="F38" s="187">
        <f t="shared" ref="F38:H38" si="15">F39+F53+F56</f>
        <v>49767000</v>
      </c>
      <c r="G38" s="334">
        <f t="shared" si="15"/>
        <v>36388905.900000006</v>
      </c>
      <c r="H38" s="334">
        <f t="shared" si="15"/>
        <v>36388905.900000006</v>
      </c>
      <c r="I38" s="613">
        <f t="shared" si="1"/>
        <v>0.73118544216046788</v>
      </c>
      <c r="J38" s="532"/>
      <c r="K38" s="298"/>
      <c r="L38" s="298"/>
      <c r="M38" s="492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</row>
    <row r="39" spans="1:113" s="338" customFormat="1" ht="15" customHeight="1">
      <c r="A39" s="1135" t="s">
        <v>333</v>
      </c>
      <c r="B39" s="1136"/>
      <c r="C39" s="1136"/>
      <c r="D39" s="370" t="s">
        <v>332</v>
      </c>
      <c r="E39" s="369">
        <f t="shared" ref="E39" si="16">E40+E48+E49+E50</f>
        <v>102568000</v>
      </c>
      <c r="F39" s="369">
        <f t="shared" ref="F39:H39" si="17">F40+F48+F49+F50</f>
        <v>48987000</v>
      </c>
      <c r="G39" s="411">
        <f t="shared" si="17"/>
        <v>35158800</v>
      </c>
      <c r="H39" s="411">
        <f t="shared" si="17"/>
        <v>35158800</v>
      </c>
      <c r="I39" s="613">
        <f t="shared" si="1"/>
        <v>0.71771694531202157</v>
      </c>
      <c r="J39" s="532"/>
      <c r="K39" s="298"/>
      <c r="L39" s="298"/>
      <c r="M39" s="492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</row>
    <row r="40" spans="1:113" s="2" customFormat="1" ht="28.15" customHeight="1">
      <c r="A40" s="202"/>
      <c r="B40" s="1128" t="s">
        <v>331</v>
      </c>
      <c r="C40" s="1128"/>
      <c r="D40" s="214" t="s">
        <v>330</v>
      </c>
      <c r="E40" s="386">
        <v>59603000</v>
      </c>
      <c r="F40" s="386">
        <f>15329000+13855000</f>
        <v>29184000</v>
      </c>
      <c r="G40" s="435">
        <v>20124400</v>
      </c>
      <c r="H40" s="435">
        <v>20124400</v>
      </c>
      <c r="I40" s="613">
        <f t="shared" si="1"/>
        <v>0.68956962719298243</v>
      </c>
      <c r="J40" s="531"/>
      <c r="M40" s="492"/>
    </row>
    <row r="41" spans="1:113" ht="15" hidden="1" customHeight="1">
      <c r="A41" s="345"/>
      <c r="B41" s="1129" t="s">
        <v>648</v>
      </c>
      <c r="C41" s="1130"/>
      <c r="D41" s="206" t="s">
        <v>44</v>
      </c>
      <c r="E41" s="405"/>
      <c r="F41" s="405"/>
      <c r="G41" s="436"/>
      <c r="H41" s="436"/>
      <c r="I41" s="613" t="e">
        <f t="shared" si="1"/>
        <v>#DIV/0!</v>
      </c>
      <c r="M41" s="492"/>
    </row>
    <row r="42" spans="1:113" ht="15" hidden="1" customHeight="1">
      <c r="A42" s="345"/>
      <c r="B42" s="1042" t="s">
        <v>647</v>
      </c>
      <c r="C42" s="1131"/>
      <c r="D42" s="206" t="s">
        <v>44</v>
      </c>
      <c r="E42" s="405"/>
      <c r="F42" s="405"/>
      <c r="G42" s="436"/>
      <c r="H42" s="436"/>
      <c r="I42" s="613" t="e">
        <f t="shared" si="1"/>
        <v>#DIV/0!</v>
      </c>
      <c r="M42" s="492"/>
    </row>
    <row r="43" spans="1:113" ht="27.6" hidden="1" customHeight="1">
      <c r="A43" s="345"/>
      <c r="B43" s="1123" t="s">
        <v>646</v>
      </c>
      <c r="C43" s="1124"/>
      <c r="D43" s="206" t="s">
        <v>73</v>
      </c>
      <c r="E43" s="405"/>
      <c r="F43" s="405"/>
      <c r="G43" s="436"/>
      <c r="H43" s="436"/>
      <c r="I43" s="613" t="e">
        <f t="shared" si="1"/>
        <v>#DIV/0!</v>
      </c>
      <c r="M43" s="492"/>
    </row>
    <row r="44" spans="1:113" ht="25.5" hidden="1" customHeight="1">
      <c r="A44" s="345"/>
      <c r="B44" s="1042" t="s">
        <v>645</v>
      </c>
      <c r="C44" s="1042"/>
      <c r="D44" s="206" t="s">
        <v>44</v>
      </c>
      <c r="E44" s="405"/>
      <c r="F44" s="405"/>
      <c r="G44" s="436"/>
      <c r="H44" s="436"/>
      <c r="I44" s="613" t="e">
        <f t="shared" si="1"/>
        <v>#DIV/0!</v>
      </c>
      <c r="M44" s="492"/>
    </row>
    <row r="45" spans="1:113" ht="26.45" hidden="1" customHeight="1">
      <c r="A45" s="345"/>
      <c r="B45" s="1042" t="s">
        <v>644</v>
      </c>
      <c r="C45" s="1042"/>
      <c r="D45" s="568"/>
      <c r="E45" s="405"/>
      <c r="F45" s="405"/>
      <c r="G45" s="436"/>
      <c r="H45" s="436"/>
      <c r="I45" s="613" t="e">
        <f t="shared" si="1"/>
        <v>#DIV/0!</v>
      </c>
      <c r="M45" s="492"/>
    </row>
    <row r="46" spans="1:113" ht="26.25" hidden="1" customHeight="1">
      <c r="A46" s="345"/>
      <c r="B46" s="1042" t="s">
        <v>643</v>
      </c>
      <c r="C46" s="1042"/>
      <c r="D46" s="568"/>
      <c r="E46" s="405"/>
      <c r="F46" s="405"/>
      <c r="G46" s="436"/>
      <c r="H46" s="436"/>
      <c r="I46" s="613" t="e">
        <f t="shared" si="1"/>
        <v>#DIV/0!</v>
      </c>
      <c r="M46" s="492"/>
    </row>
    <row r="47" spans="1:113" ht="26.25" hidden="1" customHeight="1">
      <c r="A47" s="345"/>
      <c r="B47" s="1123" t="s">
        <v>642</v>
      </c>
      <c r="C47" s="1124"/>
      <c r="D47" s="206" t="s">
        <v>44</v>
      </c>
      <c r="E47" s="405"/>
      <c r="F47" s="405"/>
      <c r="G47" s="436"/>
      <c r="H47" s="436"/>
      <c r="I47" s="613" t="e">
        <f t="shared" si="1"/>
        <v>#DIV/0!</v>
      </c>
      <c r="M47" s="492"/>
    </row>
    <row r="48" spans="1:113" ht="29.25" customHeight="1">
      <c r="A48" s="350"/>
      <c r="B48" s="1125" t="s">
        <v>323</v>
      </c>
      <c r="C48" s="1126"/>
      <c r="D48" s="368" t="s">
        <v>322</v>
      </c>
      <c r="E48" s="386">
        <v>11757000</v>
      </c>
      <c r="F48" s="386">
        <f>2939000+4400000</f>
        <v>7339000</v>
      </c>
      <c r="G48" s="435">
        <v>4155800</v>
      </c>
      <c r="H48" s="435">
        <v>4155800</v>
      </c>
      <c r="I48" s="613">
        <f t="shared" si="1"/>
        <v>0.56626243357405637</v>
      </c>
      <c r="M48" s="492"/>
    </row>
    <row r="49" spans="1:31" ht="25.5" customHeight="1">
      <c r="A49" s="202"/>
      <c r="B49" s="1125" t="s">
        <v>684</v>
      </c>
      <c r="C49" s="1126"/>
      <c r="D49" s="214" t="s">
        <v>320</v>
      </c>
      <c r="E49" s="386">
        <v>31116000</v>
      </c>
      <c r="F49" s="386">
        <f>7800000+4618000</f>
        <v>12418000</v>
      </c>
      <c r="G49" s="435">
        <v>10878600</v>
      </c>
      <c r="H49" s="435">
        <v>10878600</v>
      </c>
      <c r="I49" s="613">
        <f t="shared" si="1"/>
        <v>0.87603478821066194</v>
      </c>
      <c r="M49" s="492"/>
    </row>
    <row r="50" spans="1:31" ht="25.5" customHeight="1">
      <c r="A50" s="202"/>
      <c r="B50" s="1127" t="s">
        <v>501</v>
      </c>
      <c r="C50" s="945"/>
      <c r="D50" s="214" t="s">
        <v>502</v>
      </c>
      <c r="E50" s="201">
        <v>92000</v>
      </c>
      <c r="F50" s="201">
        <f>23000+23000</f>
        <v>46000</v>
      </c>
      <c r="G50" s="437"/>
      <c r="H50" s="437"/>
      <c r="I50" s="613"/>
      <c r="M50" s="492"/>
    </row>
    <row r="51" spans="1:31" ht="25.5" hidden="1" customHeight="1">
      <c r="A51" s="202"/>
      <c r="B51" s="1042" t="s">
        <v>671</v>
      </c>
      <c r="C51" s="1042"/>
      <c r="D51" s="214"/>
      <c r="E51" s="137"/>
      <c r="F51" s="137"/>
      <c r="G51" s="229"/>
      <c r="H51" s="229"/>
      <c r="I51" s="613" t="e">
        <f>H51/F51</f>
        <v>#DIV/0!</v>
      </c>
      <c r="M51" s="492"/>
    </row>
    <row r="52" spans="1:31" ht="25.5" hidden="1" customHeight="1">
      <c r="A52" s="202"/>
      <c r="B52" s="1042" t="s">
        <v>672</v>
      </c>
      <c r="C52" s="1042"/>
      <c r="D52" s="214"/>
      <c r="E52" s="137"/>
      <c r="F52" s="137"/>
      <c r="G52" s="229"/>
      <c r="H52" s="229"/>
      <c r="I52" s="613" t="e">
        <f>H52/F52</f>
        <v>#DIV/0!</v>
      </c>
      <c r="M52" s="492"/>
    </row>
    <row r="53" spans="1:31" s="338" customFormat="1" ht="15" customHeight="1">
      <c r="A53" s="350" t="s">
        <v>319</v>
      </c>
      <c r="B53" s="355"/>
      <c r="C53" s="351"/>
      <c r="D53" s="361" t="s">
        <v>318</v>
      </c>
      <c r="E53" s="201">
        <f t="shared" ref="E53" si="18">E54+E55</f>
        <v>16000</v>
      </c>
      <c r="F53" s="201">
        <f t="shared" ref="F53:H53" si="19">F54+F55</f>
        <v>8000</v>
      </c>
      <c r="G53" s="437">
        <f t="shared" si="19"/>
        <v>23939.7</v>
      </c>
      <c r="H53" s="437">
        <f t="shared" si="19"/>
        <v>23939.7</v>
      </c>
      <c r="I53" s="613">
        <f>H53/F53</f>
        <v>2.9924625000000002</v>
      </c>
      <c r="J53" s="532"/>
      <c r="K53" s="298"/>
      <c r="L53" s="298"/>
      <c r="M53" s="492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</row>
    <row r="54" spans="1:31" ht="15" customHeight="1">
      <c r="A54" s="350"/>
      <c r="B54" s="224" t="s">
        <v>317</v>
      </c>
      <c r="C54" s="222"/>
      <c r="D54" s="363" t="s">
        <v>316</v>
      </c>
      <c r="E54" s="137"/>
      <c r="F54" s="137"/>
      <c r="G54" s="229"/>
      <c r="H54" s="229"/>
      <c r="I54" s="613"/>
      <c r="M54" s="492"/>
    </row>
    <row r="55" spans="1:31" ht="14.45" customHeight="1">
      <c r="A55" s="350"/>
      <c r="B55" s="367" t="s">
        <v>315</v>
      </c>
      <c r="C55" s="222"/>
      <c r="D55" s="363" t="s">
        <v>314</v>
      </c>
      <c r="E55" s="137">
        <v>16000</v>
      </c>
      <c r="F55" s="137">
        <v>8000</v>
      </c>
      <c r="G55" s="229">
        <v>23939.7</v>
      </c>
      <c r="H55" s="229">
        <v>23939.7</v>
      </c>
      <c r="I55" s="613">
        <f>H55/F55</f>
        <v>2.9924625000000002</v>
      </c>
      <c r="M55" s="492"/>
    </row>
    <row r="56" spans="1:31" s="338" customFormat="1" ht="27" customHeight="1">
      <c r="A56" s="1121" t="s">
        <v>313</v>
      </c>
      <c r="B56" s="1122"/>
      <c r="C56" s="1122"/>
      <c r="D56" s="361" t="s">
        <v>312</v>
      </c>
      <c r="E56" s="196">
        <f t="shared" ref="E56" si="20">E57+E60+E61</f>
        <v>1729000</v>
      </c>
      <c r="F56" s="196">
        <f t="shared" ref="F56:H56" si="21">F57+F60+F61</f>
        <v>772000</v>
      </c>
      <c r="G56" s="438">
        <f t="shared" si="21"/>
        <v>1206166.2</v>
      </c>
      <c r="H56" s="438">
        <f t="shared" si="21"/>
        <v>1206166.2</v>
      </c>
      <c r="I56" s="613">
        <f>H56/F56</f>
        <v>1.5623914507772021</v>
      </c>
      <c r="J56" s="532"/>
      <c r="K56" s="298"/>
      <c r="L56" s="298"/>
      <c r="M56" s="492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</row>
    <row r="57" spans="1:31" ht="15" customHeight="1">
      <c r="A57" s="350"/>
      <c r="B57" s="878" t="s">
        <v>641</v>
      </c>
      <c r="C57" s="805"/>
      <c r="D57" s="211" t="s">
        <v>310</v>
      </c>
      <c r="E57" s="137">
        <f t="shared" ref="E57" si="22">E58+E59</f>
        <v>1729000</v>
      </c>
      <c r="F57" s="137">
        <f t="shared" ref="F57:H57" si="23">F58+F59</f>
        <v>772000</v>
      </c>
      <c r="G57" s="229">
        <f t="shared" si="23"/>
        <v>1206166.2</v>
      </c>
      <c r="H57" s="229">
        <f t="shared" si="23"/>
        <v>1206166.2</v>
      </c>
      <c r="I57" s="613">
        <f>H57/F57</f>
        <v>1.5623914507772021</v>
      </c>
      <c r="M57" s="492"/>
    </row>
    <row r="58" spans="1:31" ht="15" customHeight="1">
      <c r="A58" s="350"/>
      <c r="B58" s="878" t="s">
        <v>640</v>
      </c>
      <c r="C58" s="805"/>
      <c r="D58" s="210" t="s">
        <v>44</v>
      </c>
      <c r="E58" s="137">
        <v>159000</v>
      </c>
      <c r="F58" s="137">
        <f>50000+34000</f>
        <v>84000</v>
      </c>
      <c r="G58" s="441">
        <v>117405.32</v>
      </c>
      <c r="H58" s="441">
        <v>117405.32</v>
      </c>
      <c r="I58" s="613">
        <f>H58/F58</f>
        <v>1.3976823809523811</v>
      </c>
      <c r="M58" s="492"/>
    </row>
    <row r="59" spans="1:31" ht="15" customHeight="1">
      <c r="A59" s="350"/>
      <c r="B59" s="878" t="s">
        <v>639</v>
      </c>
      <c r="C59" s="805"/>
      <c r="D59" s="210" t="s">
        <v>44</v>
      </c>
      <c r="E59" s="137">
        <v>1570000</v>
      </c>
      <c r="F59" s="137">
        <f>249000+439000</f>
        <v>688000</v>
      </c>
      <c r="G59" s="441">
        <v>1088760.8799999999</v>
      </c>
      <c r="H59" s="441">
        <v>1088760.8799999999</v>
      </c>
      <c r="I59" s="613">
        <f>H59/F59</f>
        <v>1.5825012790697672</v>
      </c>
      <c r="M59" s="492"/>
    </row>
    <row r="60" spans="1:31" ht="23.25" customHeight="1">
      <c r="A60" s="350"/>
      <c r="B60" s="933" t="s">
        <v>309</v>
      </c>
      <c r="C60" s="933"/>
      <c r="D60" s="363" t="s">
        <v>308</v>
      </c>
      <c r="E60" s="137"/>
      <c r="F60" s="137"/>
      <c r="G60" s="229"/>
      <c r="H60" s="229"/>
      <c r="I60" s="613"/>
      <c r="M60" s="492"/>
    </row>
    <row r="61" spans="1:31" ht="24.6" customHeight="1">
      <c r="A61" s="350"/>
      <c r="B61" s="1087" t="s">
        <v>307</v>
      </c>
      <c r="C61" s="1087"/>
      <c r="D61" s="363" t="s">
        <v>306</v>
      </c>
      <c r="E61" s="137"/>
      <c r="F61" s="137"/>
      <c r="G61" s="229"/>
      <c r="H61" s="229"/>
      <c r="I61" s="613"/>
      <c r="M61" s="492"/>
    </row>
    <row r="62" spans="1:31" ht="15" customHeight="1">
      <c r="A62" s="1102" t="s">
        <v>305</v>
      </c>
      <c r="B62" s="1103"/>
      <c r="C62" s="1104"/>
      <c r="D62" s="228" t="s">
        <v>304</v>
      </c>
      <c r="E62" s="137"/>
      <c r="F62" s="137"/>
      <c r="G62" s="229"/>
      <c r="H62" s="229"/>
      <c r="I62" s="613"/>
      <c r="M62" s="492"/>
    </row>
    <row r="63" spans="1:31" ht="15" customHeight="1">
      <c r="A63" s="1102" t="s">
        <v>303</v>
      </c>
      <c r="B63" s="1103"/>
      <c r="C63" s="1104"/>
      <c r="D63" s="363" t="s">
        <v>302</v>
      </c>
      <c r="E63" s="137"/>
      <c r="F63" s="137"/>
      <c r="G63" s="229"/>
      <c r="H63" s="229"/>
      <c r="I63" s="613"/>
      <c r="M63" s="492"/>
    </row>
    <row r="64" spans="1:31" ht="13.9" customHeight="1">
      <c r="A64" s="350"/>
      <c r="B64" s="367" t="s">
        <v>301</v>
      </c>
      <c r="C64" s="222"/>
      <c r="D64" s="363" t="s">
        <v>300</v>
      </c>
      <c r="E64" s="137"/>
      <c r="F64" s="137"/>
      <c r="G64" s="229"/>
      <c r="H64" s="229"/>
      <c r="I64" s="613"/>
      <c r="M64" s="492"/>
    </row>
    <row r="65" spans="1:113" s="338" customFormat="1" ht="15" customHeight="1">
      <c r="A65" s="1105" t="s">
        <v>299</v>
      </c>
      <c r="B65" s="1106"/>
      <c r="C65" s="1106"/>
      <c r="D65" s="228" t="s">
        <v>298</v>
      </c>
      <c r="E65" s="187">
        <f t="shared" ref="E65" si="24">E66+E91</f>
        <v>10316000</v>
      </c>
      <c r="F65" s="187">
        <f t="shared" ref="F65:H65" si="25">F66+F91</f>
        <v>4418000</v>
      </c>
      <c r="G65" s="334">
        <f t="shared" si="25"/>
        <v>4598350.76</v>
      </c>
      <c r="H65" s="334">
        <f t="shared" si="25"/>
        <v>4598350.76</v>
      </c>
      <c r="I65" s="613">
        <f>H65/F65</f>
        <v>1.0408218107741058</v>
      </c>
      <c r="J65" s="532"/>
      <c r="K65" s="298"/>
      <c r="L65" s="298"/>
      <c r="M65" s="492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</row>
    <row r="66" spans="1:113" s="338" customFormat="1" ht="15.6" customHeight="1">
      <c r="A66" s="1095" t="s">
        <v>297</v>
      </c>
      <c r="B66" s="1096"/>
      <c r="C66" s="1097"/>
      <c r="D66" s="228" t="s">
        <v>296</v>
      </c>
      <c r="E66" s="187">
        <f t="shared" ref="E66" si="26">E67+E89</f>
        <v>9891000</v>
      </c>
      <c r="F66" s="187">
        <f t="shared" ref="F66:H66" si="27">F67+F89</f>
        <v>4181000</v>
      </c>
      <c r="G66" s="334">
        <f t="shared" si="27"/>
        <v>3830225.8699999996</v>
      </c>
      <c r="H66" s="334">
        <f t="shared" si="27"/>
        <v>3830225.8699999996</v>
      </c>
      <c r="I66" s="613">
        <f>H66/F66</f>
        <v>0.91610281511600089</v>
      </c>
      <c r="J66" s="532"/>
      <c r="K66" s="298"/>
      <c r="L66" s="298"/>
      <c r="M66" s="492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</row>
    <row r="67" spans="1:113" ht="14.45" customHeight="1">
      <c r="A67" s="1105" t="s">
        <v>295</v>
      </c>
      <c r="B67" s="1106"/>
      <c r="C67" s="1106"/>
      <c r="D67" s="361" t="s">
        <v>294</v>
      </c>
      <c r="E67" s="187">
        <f>E68+E71+E72+E84+E88</f>
        <v>9891000</v>
      </c>
      <c r="F67" s="187">
        <f t="shared" ref="F67:H67" si="28">F68+F71+F72+F84+F88</f>
        <v>4181000</v>
      </c>
      <c r="G67" s="334">
        <f t="shared" si="28"/>
        <v>3830225.8699999996</v>
      </c>
      <c r="H67" s="334">
        <f t="shared" si="28"/>
        <v>3830225.8699999996</v>
      </c>
      <c r="I67" s="613">
        <f>H67/F67</f>
        <v>0.91610281511600089</v>
      </c>
      <c r="M67" s="492"/>
    </row>
    <row r="68" spans="1:113" ht="26.45" customHeight="1">
      <c r="A68" s="366"/>
      <c r="B68" s="1120" t="s">
        <v>293</v>
      </c>
      <c r="C68" s="1120"/>
      <c r="D68" s="363" t="s">
        <v>292</v>
      </c>
      <c r="E68" s="137">
        <f t="shared" ref="E68:F68" si="29">E69+E70</f>
        <v>110000</v>
      </c>
      <c r="F68" s="137">
        <f t="shared" si="29"/>
        <v>110000</v>
      </c>
      <c r="G68" s="229">
        <f>G69+G70</f>
        <v>238862</v>
      </c>
      <c r="H68" s="229">
        <f>H69+H70</f>
        <v>238862</v>
      </c>
      <c r="I68" s="613">
        <f>H68/F68</f>
        <v>2.1714727272727274</v>
      </c>
      <c r="M68" s="492"/>
    </row>
    <row r="69" spans="1:113" s="2" customFormat="1" ht="15" customHeight="1">
      <c r="A69" s="202"/>
      <c r="B69" s="971" t="s">
        <v>638</v>
      </c>
      <c r="C69" s="971"/>
      <c r="D69" s="365" t="s">
        <v>44</v>
      </c>
      <c r="E69" s="137">
        <v>110000</v>
      </c>
      <c r="F69" s="137">
        <v>110000</v>
      </c>
      <c r="G69" s="504">
        <v>238862</v>
      </c>
      <c r="H69" s="504">
        <v>238862</v>
      </c>
      <c r="I69" s="613">
        <f>H69/F69</f>
        <v>2.1714727272727274</v>
      </c>
      <c r="J69" s="531"/>
      <c r="M69" s="49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s="2" customFormat="1" ht="15" customHeight="1">
      <c r="A70" s="364"/>
      <c r="B70" s="1043" t="s">
        <v>291</v>
      </c>
      <c r="C70" s="962"/>
      <c r="D70" s="363" t="s">
        <v>290</v>
      </c>
      <c r="E70" s="137"/>
      <c r="F70" s="137"/>
      <c r="G70" s="504"/>
      <c r="H70" s="504"/>
      <c r="I70" s="613"/>
      <c r="J70" s="531"/>
      <c r="M70" s="49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s="2" customFormat="1" ht="15" customHeight="1">
      <c r="A71" s="364"/>
      <c r="B71" s="1114" t="s">
        <v>715</v>
      </c>
      <c r="C71" s="1097"/>
      <c r="D71" s="529" t="s">
        <v>716</v>
      </c>
      <c r="E71" s="137"/>
      <c r="F71" s="137"/>
      <c r="G71" s="504">
        <v>35564.730000000003</v>
      </c>
      <c r="H71" s="504">
        <v>35564.730000000003</v>
      </c>
      <c r="I71" s="613"/>
      <c r="J71" s="531"/>
      <c r="M71" s="49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s="2" customFormat="1" ht="15" customHeight="1">
      <c r="A72" s="350"/>
      <c r="B72" s="1114" t="s">
        <v>637</v>
      </c>
      <c r="C72" s="1097"/>
      <c r="D72" s="360" t="s">
        <v>713</v>
      </c>
      <c r="E72" s="201">
        <f t="shared" ref="E72" si="30">E73+E80</f>
        <v>9555000</v>
      </c>
      <c r="F72" s="201">
        <f t="shared" ref="F72:H72" si="31">F73+F80</f>
        <v>3845000</v>
      </c>
      <c r="G72" s="495">
        <f t="shared" si="31"/>
        <v>3367547.1399999997</v>
      </c>
      <c r="H72" s="495">
        <f t="shared" si="31"/>
        <v>3367547.1399999997</v>
      </c>
      <c r="I72" s="613">
        <f>H72/F72</f>
        <v>0.87582500390117024</v>
      </c>
      <c r="J72" s="531"/>
      <c r="M72" s="49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s="2" customFormat="1" ht="15" customHeight="1">
      <c r="A73" s="350"/>
      <c r="B73" s="1116" t="s">
        <v>494</v>
      </c>
      <c r="C73" s="1117"/>
      <c r="D73" s="363"/>
      <c r="E73" s="201">
        <f t="shared" ref="E73" si="32">E74+E75+E76+E77+E78+E79</f>
        <v>9098000</v>
      </c>
      <c r="F73" s="201">
        <f t="shared" ref="F73:H73" si="33">F74+F75+F76+F77+F78+F79</f>
        <v>3542000</v>
      </c>
      <c r="G73" s="437">
        <f t="shared" si="33"/>
        <v>2960571.9399999995</v>
      </c>
      <c r="H73" s="437">
        <f t="shared" si="33"/>
        <v>2960571.9399999995</v>
      </c>
      <c r="I73" s="613">
        <f>H73/F73</f>
        <v>0.83584752682100494</v>
      </c>
      <c r="J73" s="531"/>
      <c r="M73" s="49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s="2" customFormat="1" ht="15" customHeight="1">
      <c r="A74" s="202"/>
      <c r="B74" s="873" t="s">
        <v>493</v>
      </c>
      <c r="C74" s="873"/>
      <c r="D74" s="210" t="s">
        <v>44</v>
      </c>
      <c r="E74" s="422">
        <v>1000</v>
      </c>
      <c r="F74" s="422">
        <v>1000</v>
      </c>
      <c r="G74" s="441"/>
      <c r="H74" s="441"/>
      <c r="I74" s="613">
        <f>H74/F74</f>
        <v>0</v>
      </c>
      <c r="J74" s="531"/>
      <c r="M74" s="49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s="396" customFormat="1" ht="14.45" customHeight="1">
      <c r="A75" s="202"/>
      <c r="B75" s="939" t="s">
        <v>492</v>
      </c>
      <c r="C75" s="939"/>
      <c r="D75" s="393" t="s">
        <v>44</v>
      </c>
      <c r="E75" s="225">
        <v>271000</v>
      </c>
      <c r="F75" s="225">
        <f>67000+68000</f>
        <v>135000</v>
      </c>
      <c r="G75" s="441">
        <v>67000</v>
      </c>
      <c r="H75" s="441">
        <v>67000</v>
      </c>
      <c r="I75" s="613">
        <f>H75/F75</f>
        <v>0.49629629629629629</v>
      </c>
      <c r="J75" s="535"/>
      <c r="M75" s="492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</row>
    <row r="76" spans="1:113" s="2" customFormat="1" ht="14.45" customHeight="1">
      <c r="A76" s="202"/>
      <c r="B76" s="873" t="s">
        <v>636</v>
      </c>
      <c r="C76" s="873"/>
      <c r="D76" s="210" t="s">
        <v>44</v>
      </c>
      <c r="E76" s="399">
        <v>4069000</v>
      </c>
      <c r="F76" s="399">
        <v>1029000</v>
      </c>
      <c r="G76" s="441">
        <v>1028137.36</v>
      </c>
      <c r="H76" s="441">
        <v>1028137.36</v>
      </c>
      <c r="I76" s="613">
        <f>H76/F76</f>
        <v>0.99916167152575319</v>
      </c>
      <c r="J76" s="531"/>
      <c r="M76" s="49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s="2" customFormat="1" ht="13.9" hidden="1" customHeight="1">
      <c r="A77" s="202"/>
      <c r="B77" s="939"/>
      <c r="C77" s="873"/>
      <c r="D77" s="210" t="s">
        <v>44</v>
      </c>
      <c r="E77" s="405"/>
      <c r="F77" s="405"/>
      <c r="G77" s="441"/>
      <c r="H77" s="441"/>
      <c r="I77" s="613"/>
      <c r="J77" s="531"/>
      <c r="M77" s="49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s="396" customFormat="1" ht="15" customHeight="1">
      <c r="A78" s="202"/>
      <c r="B78" s="939" t="s">
        <v>490</v>
      </c>
      <c r="C78" s="939"/>
      <c r="D78" s="393" t="s">
        <v>44</v>
      </c>
      <c r="E78" s="395">
        <v>78000</v>
      </c>
      <c r="F78" s="395">
        <f>19000+19000</f>
        <v>38000</v>
      </c>
      <c r="G78" s="514">
        <v>19700.400000000001</v>
      </c>
      <c r="H78" s="514">
        <v>19700.400000000001</v>
      </c>
      <c r="I78" s="613">
        <f t="shared" ref="I78:I85" si="34">H78/F78</f>
        <v>0.51843157894736847</v>
      </c>
      <c r="J78" s="535"/>
      <c r="M78" s="492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</row>
    <row r="79" spans="1:113" s="2" customFormat="1" ht="15" customHeight="1">
      <c r="A79" s="202"/>
      <c r="B79" s="542" t="s">
        <v>635</v>
      </c>
      <c r="C79" s="543"/>
      <c r="D79" s="210"/>
      <c r="E79" s="399">
        <v>4679000</v>
      </c>
      <c r="F79" s="399">
        <f>1169000+1170000</f>
        <v>2339000</v>
      </c>
      <c r="G79" s="441">
        <v>1845734.18</v>
      </c>
      <c r="H79" s="441">
        <v>1845734.18</v>
      </c>
      <c r="I79" s="613">
        <f t="shared" si="34"/>
        <v>0.78911251817015815</v>
      </c>
      <c r="J79" s="531"/>
      <c r="M79" s="49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s="2" customFormat="1" ht="15" customHeight="1">
      <c r="A80" s="202"/>
      <c r="B80" s="1116" t="s">
        <v>489</v>
      </c>
      <c r="C80" s="1117"/>
      <c r="D80" s="210"/>
      <c r="E80" s="201">
        <f t="shared" ref="E80" si="35">E81+E82+E83</f>
        <v>457000</v>
      </c>
      <c r="F80" s="201">
        <f t="shared" ref="F80:H80" si="36">F81+F82+F83</f>
        <v>303000</v>
      </c>
      <c r="G80" s="437">
        <f t="shared" ref="G80" si="37">G81+G82+G83</f>
        <v>406975.2</v>
      </c>
      <c r="H80" s="437">
        <f t="shared" si="36"/>
        <v>406975.2</v>
      </c>
      <c r="I80" s="613">
        <f t="shared" si="34"/>
        <v>1.3431524752475248</v>
      </c>
      <c r="J80" s="531"/>
      <c r="M80" s="49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s="396" customFormat="1" ht="15" customHeight="1">
      <c r="A81" s="202"/>
      <c r="B81" s="1118" t="s">
        <v>634</v>
      </c>
      <c r="C81" s="1119"/>
      <c r="D81" s="398" t="s">
        <v>44</v>
      </c>
      <c r="E81" s="137">
        <v>347000</v>
      </c>
      <c r="F81" s="137">
        <f>23000+226000</f>
        <v>249000</v>
      </c>
      <c r="G81" s="441">
        <v>368625.51</v>
      </c>
      <c r="H81" s="441">
        <v>368625.51</v>
      </c>
      <c r="I81" s="613">
        <f t="shared" si="34"/>
        <v>1.4804237349397591</v>
      </c>
      <c r="J81" s="535"/>
      <c r="M81" s="492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  <c r="CH81" s="397"/>
      <c r="CI81" s="397"/>
      <c r="CJ81" s="397"/>
      <c r="CK81" s="397"/>
      <c r="CL81" s="397"/>
      <c r="CM81" s="397"/>
      <c r="CN81" s="397"/>
      <c r="CO81" s="397"/>
      <c r="CP81" s="39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A81" s="397"/>
      <c r="DB81" s="397"/>
      <c r="DC81" s="397"/>
      <c r="DD81" s="397"/>
      <c r="DE81" s="397"/>
      <c r="DF81" s="397"/>
      <c r="DG81" s="397"/>
      <c r="DH81" s="397"/>
      <c r="DI81" s="397"/>
    </row>
    <row r="82" spans="1:113" s="2" customFormat="1" ht="15" customHeight="1">
      <c r="A82" s="202"/>
      <c r="B82" s="873" t="s">
        <v>633</v>
      </c>
      <c r="C82" s="873"/>
      <c r="D82" s="210" t="s">
        <v>44</v>
      </c>
      <c r="E82" s="137">
        <v>56000</v>
      </c>
      <c r="F82" s="137">
        <f>14000+14000</f>
        <v>28000</v>
      </c>
      <c r="G82" s="229">
        <v>24105.83</v>
      </c>
      <c r="H82" s="229">
        <v>24105.83</v>
      </c>
      <c r="I82" s="613">
        <f t="shared" si="34"/>
        <v>0.86092250000000003</v>
      </c>
      <c r="J82" s="531"/>
      <c r="M82" s="49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s="2" customFormat="1" ht="15" customHeight="1">
      <c r="A83" s="202"/>
      <c r="B83" s="890" t="s">
        <v>487</v>
      </c>
      <c r="C83" s="873"/>
      <c r="D83" s="210" t="s">
        <v>44</v>
      </c>
      <c r="E83" s="137">
        <v>54000</v>
      </c>
      <c r="F83" s="137">
        <v>26000</v>
      </c>
      <c r="G83" s="229">
        <v>14243.86</v>
      </c>
      <c r="H83" s="229">
        <v>14243.86</v>
      </c>
      <c r="I83" s="613">
        <f t="shared" si="34"/>
        <v>0.5478407692307693</v>
      </c>
      <c r="J83" s="531"/>
      <c r="M83" s="49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s="2" customFormat="1" ht="15" customHeight="1">
      <c r="A84" s="1095" t="s">
        <v>287</v>
      </c>
      <c r="B84" s="1096"/>
      <c r="C84" s="1097"/>
      <c r="D84" s="545" t="s">
        <v>286</v>
      </c>
      <c r="E84" s="201">
        <f t="shared" ref="E84" si="38">E85+E87+E86</f>
        <v>226000</v>
      </c>
      <c r="F84" s="201">
        <f t="shared" ref="F84:H84" si="39">F85+F87+F86</f>
        <v>226000</v>
      </c>
      <c r="G84" s="437">
        <f t="shared" si="39"/>
        <v>188252</v>
      </c>
      <c r="H84" s="437">
        <f t="shared" si="39"/>
        <v>188252</v>
      </c>
      <c r="I84" s="613">
        <f t="shared" si="34"/>
        <v>0.83297345132743361</v>
      </c>
      <c r="J84" s="531"/>
      <c r="M84" s="49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s="2" customFormat="1" ht="15" customHeight="1">
      <c r="A85" s="200"/>
      <c r="B85" s="873" t="s">
        <v>486</v>
      </c>
      <c r="C85" s="873"/>
      <c r="D85" s="210" t="s">
        <v>44</v>
      </c>
      <c r="E85" s="137">
        <v>226000</v>
      </c>
      <c r="F85" s="137">
        <v>226000</v>
      </c>
      <c r="G85" s="229">
        <v>188252</v>
      </c>
      <c r="H85" s="229">
        <v>188252</v>
      </c>
      <c r="I85" s="613">
        <f t="shared" si="34"/>
        <v>0.83297345132743361</v>
      </c>
      <c r="J85" s="531"/>
      <c r="M85" s="49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5" customHeight="1">
      <c r="A86" s="200"/>
      <c r="B86" s="873" t="s">
        <v>485</v>
      </c>
      <c r="C86" s="873"/>
      <c r="D86" s="210" t="s">
        <v>44</v>
      </c>
      <c r="E86" s="137"/>
      <c r="F86" s="137"/>
      <c r="G86" s="229"/>
      <c r="H86" s="229"/>
      <c r="I86" s="613"/>
      <c r="M86" s="492"/>
    </row>
    <row r="87" spans="1:113" ht="15" customHeight="1">
      <c r="A87" s="200"/>
      <c r="B87" s="873" t="s">
        <v>484</v>
      </c>
      <c r="C87" s="873"/>
      <c r="D87" s="210" t="s">
        <v>44</v>
      </c>
      <c r="E87" s="137"/>
      <c r="F87" s="137"/>
      <c r="G87" s="229"/>
      <c r="H87" s="229"/>
      <c r="I87" s="613"/>
      <c r="M87" s="492"/>
    </row>
    <row r="88" spans="1:113" ht="15" customHeight="1">
      <c r="A88" s="346"/>
      <c r="B88" s="1114" t="s">
        <v>285</v>
      </c>
      <c r="C88" s="1097"/>
      <c r="D88" s="361" t="s">
        <v>284</v>
      </c>
      <c r="E88" s="135"/>
      <c r="F88" s="135"/>
      <c r="G88" s="233"/>
      <c r="H88" s="233"/>
      <c r="I88" s="613"/>
      <c r="M88" s="492"/>
    </row>
    <row r="89" spans="1:113" s="338" customFormat="1" ht="15" customHeight="1">
      <c r="A89" s="1105" t="s">
        <v>632</v>
      </c>
      <c r="B89" s="1106"/>
      <c r="C89" s="1106"/>
      <c r="D89" s="360" t="s">
        <v>282</v>
      </c>
      <c r="E89" s="196">
        <f t="shared" ref="E89:H89" si="40">E90</f>
        <v>0</v>
      </c>
      <c r="F89" s="196">
        <f t="shared" si="40"/>
        <v>0</v>
      </c>
      <c r="G89" s="438">
        <f t="shared" si="40"/>
        <v>0</v>
      </c>
      <c r="H89" s="438">
        <f t="shared" si="40"/>
        <v>0</v>
      </c>
      <c r="I89" s="613"/>
      <c r="J89" s="532"/>
      <c r="K89" s="298"/>
      <c r="L89" s="298"/>
      <c r="M89" s="492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</row>
    <row r="90" spans="1:113" ht="14.45" customHeight="1">
      <c r="A90" s="200"/>
      <c r="B90" s="878" t="s">
        <v>631</v>
      </c>
      <c r="C90" s="805"/>
      <c r="D90" s="207" t="s">
        <v>280</v>
      </c>
      <c r="E90" s="137"/>
      <c r="F90" s="137"/>
      <c r="G90" s="229"/>
      <c r="H90" s="229"/>
      <c r="I90" s="613"/>
      <c r="M90" s="492"/>
    </row>
    <row r="91" spans="1:113" s="338" customFormat="1" ht="15" customHeight="1">
      <c r="A91" s="346" t="s">
        <v>279</v>
      </c>
      <c r="B91" s="354"/>
      <c r="C91" s="354"/>
      <c r="D91" s="228" t="s">
        <v>278</v>
      </c>
      <c r="E91" s="187">
        <f t="shared" ref="E91" si="41">E92+E100+E103+E108+E117</f>
        <v>425000</v>
      </c>
      <c r="F91" s="187">
        <f t="shared" ref="F91:H91" si="42">F92+F100+F103+F108+F117</f>
        <v>237000</v>
      </c>
      <c r="G91" s="334">
        <f t="shared" si="42"/>
        <v>768124.8899999999</v>
      </c>
      <c r="H91" s="334">
        <f t="shared" si="42"/>
        <v>768124.8899999999</v>
      </c>
      <c r="I91" s="613">
        <f t="shared" ref="I91:I97" si="43">H91/F91</f>
        <v>3.2410332911392401</v>
      </c>
      <c r="J91" s="532"/>
      <c r="K91" s="298"/>
      <c r="L91" s="298"/>
      <c r="M91" s="492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</row>
    <row r="92" spans="1:113" s="338" customFormat="1" ht="15" customHeight="1">
      <c r="A92" s="1095" t="s">
        <v>630</v>
      </c>
      <c r="B92" s="1096"/>
      <c r="C92" s="1097"/>
      <c r="D92" s="341" t="s">
        <v>276</v>
      </c>
      <c r="E92" s="187">
        <f t="shared" ref="E92" si="44">E98+E99+E93</f>
        <v>298000</v>
      </c>
      <c r="F92" s="187">
        <f t="shared" ref="F92:H92" si="45">F98+F99+F93</f>
        <v>154000</v>
      </c>
      <c r="G92" s="334">
        <f t="shared" si="45"/>
        <v>219516</v>
      </c>
      <c r="H92" s="334">
        <f t="shared" si="45"/>
        <v>219516</v>
      </c>
      <c r="I92" s="613">
        <f t="shared" si="43"/>
        <v>1.4254285714285715</v>
      </c>
      <c r="J92" s="532"/>
      <c r="K92" s="298"/>
      <c r="L92" s="298"/>
      <c r="M92" s="492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</row>
    <row r="93" spans="1:113" ht="13.9" customHeight="1">
      <c r="A93" s="350"/>
      <c r="B93" s="224" t="s">
        <v>483</v>
      </c>
      <c r="C93" s="222"/>
      <c r="D93" s="559" t="s">
        <v>482</v>
      </c>
      <c r="E93" s="137">
        <v>298000</v>
      </c>
      <c r="F93" s="137">
        <f>81000+73000</f>
        <v>154000</v>
      </c>
      <c r="G93" s="229">
        <v>163037</v>
      </c>
      <c r="H93" s="229">
        <v>163037</v>
      </c>
      <c r="I93" s="613">
        <f t="shared" si="43"/>
        <v>1.0586818181818183</v>
      </c>
      <c r="M93" s="492"/>
    </row>
    <row r="94" spans="1:113" ht="15" hidden="1" customHeight="1">
      <c r="A94" s="350"/>
      <c r="B94" s="1115" t="s">
        <v>273</v>
      </c>
      <c r="C94" s="1115"/>
      <c r="D94" s="559" t="s">
        <v>272</v>
      </c>
      <c r="E94" s="137"/>
      <c r="F94" s="137"/>
      <c r="G94" s="229"/>
      <c r="H94" s="229"/>
      <c r="I94" s="613" t="e">
        <f t="shared" si="43"/>
        <v>#DIV/0!</v>
      </c>
      <c r="M94" s="492"/>
    </row>
    <row r="95" spans="1:113" ht="15" hidden="1" customHeight="1">
      <c r="A95" s="350"/>
      <c r="B95" s="1100" t="s">
        <v>271</v>
      </c>
      <c r="C95" s="1100"/>
      <c r="D95" s="559" t="s">
        <v>270</v>
      </c>
      <c r="E95" s="137"/>
      <c r="F95" s="137"/>
      <c r="G95" s="229"/>
      <c r="H95" s="229"/>
      <c r="I95" s="613" t="e">
        <f t="shared" si="43"/>
        <v>#DIV/0!</v>
      </c>
      <c r="M95" s="492"/>
    </row>
    <row r="96" spans="1:113" ht="15" hidden="1" customHeight="1">
      <c r="A96" s="357"/>
      <c r="B96" s="1043" t="s">
        <v>269</v>
      </c>
      <c r="C96" s="962"/>
      <c r="D96" s="559" t="s">
        <v>268</v>
      </c>
      <c r="E96" s="137"/>
      <c r="F96" s="137"/>
      <c r="G96" s="229"/>
      <c r="H96" s="229"/>
      <c r="I96" s="613" t="e">
        <f t="shared" si="43"/>
        <v>#DIV/0!</v>
      </c>
      <c r="M96" s="492"/>
    </row>
    <row r="97" spans="1:31" ht="15" hidden="1" customHeight="1">
      <c r="A97" s="359"/>
      <c r="B97" s="971" t="s">
        <v>267</v>
      </c>
      <c r="C97" s="971"/>
      <c r="D97" s="559" t="s">
        <v>266</v>
      </c>
      <c r="E97" s="137"/>
      <c r="F97" s="137"/>
      <c r="G97" s="229"/>
      <c r="H97" s="229"/>
      <c r="I97" s="613" t="e">
        <f t="shared" si="43"/>
        <v>#DIV/0!</v>
      </c>
      <c r="M97" s="492"/>
    </row>
    <row r="98" spans="1:31" ht="25.5" customHeight="1">
      <c r="A98" s="359"/>
      <c r="B98" s="1113" t="s">
        <v>718</v>
      </c>
      <c r="C98" s="1100"/>
      <c r="D98" s="498" t="s">
        <v>717</v>
      </c>
      <c r="E98" s="137"/>
      <c r="F98" s="137"/>
      <c r="G98" s="229">
        <v>56479</v>
      </c>
      <c r="H98" s="229">
        <v>56479</v>
      </c>
      <c r="I98" s="613"/>
      <c r="M98" s="492"/>
    </row>
    <row r="99" spans="1:31" ht="14.45" customHeight="1">
      <c r="A99" s="204"/>
      <c r="B99" s="878" t="s">
        <v>263</v>
      </c>
      <c r="C99" s="805"/>
      <c r="D99" s="576" t="s">
        <v>262</v>
      </c>
      <c r="E99" s="137"/>
      <c r="F99" s="137"/>
      <c r="G99" s="229"/>
      <c r="H99" s="229"/>
      <c r="I99" s="613"/>
      <c r="M99" s="492"/>
    </row>
    <row r="100" spans="1:31" s="338" customFormat="1" ht="15" customHeight="1">
      <c r="A100" s="350" t="s">
        <v>629</v>
      </c>
      <c r="B100" s="355"/>
      <c r="C100" s="358"/>
      <c r="D100" s="341" t="s">
        <v>260</v>
      </c>
      <c r="E100" s="201"/>
      <c r="F100" s="201"/>
      <c r="G100" s="437"/>
      <c r="H100" s="437"/>
      <c r="I100" s="613"/>
      <c r="J100" s="532"/>
      <c r="K100" s="298"/>
      <c r="L100" s="298"/>
      <c r="M100" s="492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</row>
    <row r="101" spans="1:31" ht="13.9" customHeight="1">
      <c r="A101" s="350"/>
      <c r="B101" s="1107" t="s">
        <v>259</v>
      </c>
      <c r="C101" s="1108"/>
      <c r="D101" s="559" t="s">
        <v>258</v>
      </c>
      <c r="E101" s="137"/>
      <c r="F101" s="137"/>
      <c r="G101" s="229"/>
      <c r="H101" s="229"/>
      <c r="I101" s="613"/>
      <c r="M101" s="492"/>
    </row>
    <row r="102" spans="1:31" ht="14.45" customHeight="1">
      <c r="A102" s="357"/>
      <c r="B102" s="1043" t="s">
        <v>257</v>
      </c>
      <c r="C102" s="962"/>
      <c r="D102" s="559" t="s">
        <v>256</v>
      </c>
      <c r="E102" s="137"/>
      <c r="F102" s="137"/>
      <c r="G102" s="229"/>
      <c r="H102" s="229"/>
      <c r="I102" s="613"/>
      <c r="M102" s="492"/>
    </row>
    <row r="103" spans="1:31" s="338" customFormat="1" ht="15" customHeight="1">
      <c r="A103" s="1102" t="s">
        <v>628</v>
      </c>
      <c r="B103" s="1103"/>
      <c r="C103" s="1104"/>
      <c r="D103" s="341" t="s">
        <v>254</v>
      </c>
      <c r="E103" s="187">
        <f t="shared" ref="E103" si="46">E104+E105+E106+E107</f>
        <v>50000</v>
      </c>
      <c r="F103" s="187">
        <f t="shared" ref="F103:H103" si="47">F104+F105+F106+F107</f>
        <v>34000</v>
      </c>
      <c r="G103" s="334">
        <f t="shared" si="47"/>
        <v>140388.96</v>
      </c>
      <c r="H103" s="334">
        <f t="shared" si="47"/>
        <v>140388.96</v>
      </c>
      <c r="I103" s="613">
        <f>H103/F103</f>
        <v>4.1290870588235293</v>
      </c>
      <c r="J103" s="532"/>
      <c r="K103" s="298"/>
      <c r="L103" s="298"/>
      <c r="M103" s="492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</row>
    <row r="104" spans="1:31" ht="13.9" customHeight="1">
      <c r="A104" s="350"/>
      <c r="B104" s="971" t="s">
        <v>253</v>
      </c>
      <c r="C104" s="971"/>
      <c r="D104" s="559" t="s">
        <v>252</v>
      </c>
      <c r="E104" s="137"/>
      <c r="F104" s="137"/>
      <c r="G104" s="229"/>
      <c r="H104" s="229"/>
      <c r="I104" s="613"/>
      <c r="M104" s="492"/>
    </row>
    <row r="105" spans="1:31" ht="14.45" customHeight="1">
      <c r="A105" s="350"/>
      <c r="B105" s="1043" t="s">
        <v>251</v>
      </c>
      <c r="C105" s="962"/>
      <c r="D105" s="559" t="s">
        <v>250</v>
      </c>
      <c r="E105" s="137"/>
      <c r="F105" s="137"/>
      <c r="G105" s="229"/>
      <c r="H105" s="229"/>
      <c r="I105" s="613"/>
      <c r="M105" s="492"/>
    </row>
    <row r="106" spans="1:31" ht="27.6" customHeight="1">
      <c r="A106" s="350"/>
      <c r="B106" s="1087" t="s">
        <v>249</v>
      </c>
      <c r="C106" s="1087"/>
      <c r="D106" s="559" t="s">
        <v>248</v>
      </c>
      <c r="E106" s="137"/>
      <c r="F106" s="137"/>
      <c r="G106" s="229"/>
      <c r="H106" s="229"/>
      <c r="I106" s="613"/>
      <c r="M106" s="492"/>
    </row>
    <row r="107" spans="1:31" ht="15" customHeight="1">
      <c r="A107" s="350"/>
      <c r="B107" s="1043" t="s">
        <v>627</v>
      </c>
      <c r="C107" s="962"/>
      <c r="D107" s="559" t="s">
        <v>246</v>
      </c>
      <c r="E107" s="488">
        <v>50000</v>
      </c>
      <c r="F107" s="488">
        <f>27000+7000</f>
        <v>34000</v>
      </c>
      <c r="G107" s="489">
        <v>140388.96</v>
      </c>
      <c r="H107" s="489">
        <v>140388.96</v>
      </c>
      <c r="I107" s="613">
        <f>H107/F107</f>
        <v>4.1290870588235293</v>
      </c>
      <c r="M107" s="492"/>
    </row>
    <row r="108" spans="1:31" s="338" customFormat="1" ht="15" customHeight="1">
      <c r="A108" s="1111" t="s">
        <v>245</v>
      </c>
      <c r="B108" s="1112"/>
      <c r="C108" s="1112"/>
      <c r="D108" s="341" t="s">
        <v>244</v>
      </c>
      <c r="E108" s="356">
        <f>E109+E112+E114+E113</f>
        <v>77000</v>
      </c>
      <c r="F108" s="356">
        <f>F109+F112+F114+F113</f>
        <v>49000</v>
      </c>
      <c r="G108" s="334">
        <f t="shared" ref="G108:H108" si="48">G109+G112+G114+G113</f>
        <v>408219.93</v>
      </c>
      <c r="H108" s="334">
        <f t="shared" si="48"/>
        <v>408219.93</v>
      </c>
      <c r="I108" s="613">
        <f>H108/F108</f>
        <v>8.3310189795918372</v>
      </c>
      <c r="J108" s="532"/>
      <c r="K108" s="298"/>
      <c r="L108" s="298"/>
      <c r="M108" s="492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</row>
    <row r="109" spans="1:31" s="338" customFormat="1" ht="14.45" customHeight="1">
      <c r="A109" s="546"/>
      <c r="B109" s="1107" t="s">
        <v>626</v>
      </c>
      <c r="C109" s="1108"/>
      <c r="D109" s="341" t="s">
        <v>625</v>
      </c>
      <c r="E109" s="187">
        <f t="shared" ref="E109" si="49">E110+E111</f>
        <v>0</v>
      </c>
      <c r="F109" s="187">
        <f t="shared" ref="F109:H109" si="50">F110+F111</f>
        <v>0</v>
      </c>
      <c r="G109" s="334">
        <f t="shared" si="50"/>
        <v>0</v>
      </c>
      <c r="H109" s="334">
        <f t="shared" si="50"/>
        <v>0</v>
      </c>
      <c r="I109" s="613"/>
      <c r="J109" s="532"/>
      <c r="K109" s="298"/>
      <c r="L109" s="298"/>
      <c r="M109" s="492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</row>
    <row r="110" spans="1:31" s="338" customFormat="1" ht="14.45" customHeight="1">
      <c r="A110" s="546"/>
      <c r="B110" s="1107" t="s">
        <v>481</v>
      </c>
      <c r="C110" s="1108"/>
      <c r="D110" s="559" t="s">
        <v>624</v>
      </c>
      <c r="E110" s="135"/>
      <c r="F110" s="135"/>
      <c r="G110" s="233"/>
      <c r="H110" s="233"/>
      <c r="I110" s="613"/>
      <c r="J110" s="532"/>
      <c r="K110" s="298"/>
      <c r="L110" s="298"/>
      <c r="M110" s="492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</row>
    <row r="111" spans="1:31" s="338" customFormat="1" ht="14.45" customHeight="1">
      <c r="A111" s="546"/>
      <c r="B111" s="1107" t="s">
        <v>623</v>
      </c>
      <c r="C111" s="1108"/>
      <c r="D111" s="559" t="s">
        <v>622</v>
      </c>
      <c r="E111" s="187"/>
      <c r="F111" s="187"/>
      <c r="G111" s="334"/>
      <c r="H111" s="334"/>
      <c r="I111" s="613"/>
      <c r="J111" s="532"/>
      <c r="K111" s="298"/>
      <c r="L111" s="298"/>
      <c r="M111" s="492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</row>
    <row r="112" spans="1:31" ht="26.25" customHeight="1">
      <c r="A112" s="350"/>
      <c r="B112" s="1100" t="s">
        <v>243</v>
      </c>
      <c r="C112" s="1100"/>
      <c r="D112" s="559" t="s">
        <v>242</v>
      </c>
      <c r="E112" s="137"/>
      <c r="F112" s="137"/>
      <c r="G112" s="229"/>
      <c r="H112" s="229"/>
      <c r="I112" s="613"/>
      <c r="M112" s="492"/>
    </row>
    <row r="113" spans="1:31" ht="26.25" customHeight="1">
      <c r="A113" s="350"/>
      <c r="B113" s="1109" t="s">
        <v>704</v>
      </c>
      <c r="C113" s="1110"/>
      <c r="D113" s="498" t="s">
        <v>703</v>
      </c>
      <c r="E113" s="137"/>
      <c r="F113" s="137"/>
      <c r="G113" s="229">
        <v>273384.53999999998</v>
      </c>
      <c r="H113" s="229">
        <v>273384.53999999998</v>
      </c>
      <c r="I113" s="613"/>
      <c r="M113" s="492"/>
    </row>
    <row r="114" spans="1:31" ht="14.45" customHeight="1">
      <c r="A114" s="202"/>
      <c r="B114" s="1043" t="s">
        <v>621</v>
      </c>
      <c r="C114" s="962"/>
      <c r="D114" s="576" t="s">
        <v>238</v>
      </c>
      <c r="E114" s="137">
        <f>46000+31000</f>
        <v>77000</v>
      </c>
      <c r="F114" s="137">
        <v>49000</v>
      </c>
      <c r="G114" s="229">
        <v>134835.39000000001</v>
      </c>
      <c r="H114" s="229">
        <v>134835.39000000001</v>
      </c>
      <c r="I114" s="613">
        <f>H114/F114</f>
        <v>2.7517426530612248</v>
      </c>
      <c r="M114" s="492"/>
    </row>
    <row r="115" spans="1:31" ht="15" customHeight="1">
      <c r="A115" s="350"/>
      <c r="B115" s="972" t="s">
        <v>619</v>
      </c>
      <c r="C115" s="971"/>
      <c r="D115" s="353" t="s">
        <v>44</v>
      </c>
      <c r="E115" s="137">
        <v>30000</v>
      </c>
      <c r="F115" s="137">
        <v>10000</v>
      </c>
      <c r="G115" s="229">
        <v>1697.65</v>
      </c>
      <c r="H115" s="229">
        <v>1697.65</v>
      </c>
      <c r="I115" s="613">
        <f>H115/F115</f>
        <v>0.169765</v>
      </c>
      <c r="M115" s="492"/>
    </row>
    <row r="116" spans="1:31" s="338" customFormat="1" ht="15" customHeight="1">
      <c r="A116" s="1102" t="s">
        <v>620</v>
      </c>
      <c r="B116" s="1103"/>
      <c r="C116" s="1104"/>
      <c r="D116" s="341" t="s">
        <v>236</v>
      </c>
      <c r="E116" s="187">
        <f t="shared" ref="E116" si="51">E117+E118+E119+E120</f>
        <v>0</v>
      </c>
      <c r="F116" s="187">
        <f t="shared" ref="F116:H116" si="52">F117+F118+F119+F120</f>
        <v>0</v>
      </c>
      <c r="G116" s="334">
        <f t="shared" si="52"/>
        <v>0</v>
      </c>
      <c r="H116" s="334">
        <f t="shared" si="52"/>
        <v>0</v>
      </c>
      <c r="I116" s="613"/>
      <c r="J116" s="532"/>
      <c r="K116" s="298"/>
      <c r="L116" s="298"/>
      <c r="M116" s="492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</row>
    <row r="117" spans="1:31" ht="13.15" customHeight="1">
      <c r="A117" s="350"/>
      <c r="B117" s="1043" t="s">
        <v>235</v>
      </c>
      <c r="C117" s="962"/>
      <c r="D117" s="559" t="s">
        <v>234</v>
      </c>
      <c r="E117" s="137"/>
      <c r="F117" s="137"/>
      <c r="G117" s="229"/>
      <c r="H117" s="229"/>
      <c r="I117" s="613"/>
      <c r="M117" s="492"/>
    </row>
    <row r="118" spans="1:31" ht="13.9" customHeight="1">
      <c r="A118" s="350"/>
      <c r="B118" s="1043" t="s">
        <v>479</v>
      </c>
      <c r="C118" s="962"/>
      <c r="D118" s="559" t="s">
        <v>478</v>
      </c>
      <c r="E118" s="406"/>
      <c r="F118" s="406"/>
      <c r="G118" s="407"/>
      <c r="H118" s="407"/>
      <c r="I118" s="613"/>
      <c r="M118" s="492"/>
    </row>
    <row r="119" spans="1:31" ht="13.15" customHeight="1">
      <c r="A119" s="350"/>
      <c r="B119" s="971" t="s">
        <v>479</v>
      </c>
      <c r="C119" s="971"/>
      <c r="D119" s="559" t="s">
        <v>232</v>
      </c>
      <c r="E119" s="406"/>
      <c r="F119" s="406"/>
      <c r="G119" s="407"/>
      <c r="H119" s="407"/>
      <c r="I119" s="613"/>
      <c r="M119" s="492"/>
    </row>
    <row r="120" spans="1:31" ht="13.9" customHeight="1">
      <c r="A120" s="350"/>
      <c r="B120" s="1043" t="s">
        <v>231</v>
      </c>
      <c r="C120" s="962"/>
      <c r="D120" s="559" t="s">
        <v>230</v>
      </c>
      <c r="E120" s="137"/>
      <c r="F120" s="137"/>
      <c r="G120" s="229"/>
      <c r="H120" s="229"/>
      <c r="I120" s="613"/>
      <c r="M120" s="492"/>
    </row>
    <row r="121" spans="1:31" s="338" customFormat="1" ht="15" customHeight="1">
      <c r="A121" s="1102" t="s">
        <v>229</v>
      </c>
      <c r="B121" s="1103"/>
      <c r="C121" s="1104"/>
      <c r="D121" s="228" t="s">
        <v>228</v>
      </c>
      <c r="E121" s="187">
        <f t="shared" ref="E121:H121" si="53">E122</f>
        <v>0</v>
      </c>
      <c r="F121" s="187">
        <f t="shared" si="53"/>
        <v>0</v>
      </c>
      <c r="G121" s="334">
        <f t="shared" si="53"/>
        <v>4062.27</v>
      </c>
      <c r="H121" s="334">
        <f t="shared" si="53"/>
        <v>4062.27</v>
      </c>
      <c r="I121" s="613"/>
      <c r="J121" s="532"/>
      <c r="K121" s="298"/>
      <c r="L121" s="298"/>
      <c r="M121" s="492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</row>
    <row r="122" spans="1:31" s="338" customFormat="1" ht="15" customHeight="1">
      <c r="A122" s="350" t="s">
        <v>227</v>
      </c>
      <c r="B122" s="355"/>
      <c r="C122" s="354"/>
      <c r="D122" s="341" t="s">
        <v>226</v>
      </c>
      <c r="E122" s="187">
        <f t="shared" ref="E122" si="54">E123+E125+E126+E127</f>
        <v>0</v>
      </c>
      <c r="F122" s="187">
        <f t="shared" ref="F122:H122" si="55">F123+F125+F126+F127</f>
        <v>0</v>
      </c>
      <c r="G122" s="334">
        <f t="shared" si="55"/>
        <v>4062.27</v>
      </c>
      <c r="H122" s="334">
        <f t="shared" si="55"/>
        <v>4062.27</v>
      </c>
      <c r="I122" s="613"/>
      <c r="J122" s="532"/>
      <c r="K122" s="298"/>
      <c r="L122" s="298"/>
      <c r="M122" s="492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</row>
    <row r="123" spans="1:31" ht="13.15" customHeight="1">
      <c r="A123" s="350"/>
      <c r="B123" s="1043" t="s">
        <v>225</v>
      </c>
      <c r="C123" s="962"/>
      <c r="D123" s="559" t="s">
        <v>224</v>
      </c>
      <c r="E123" s="137"/>
      <c r="F123" s="137"/>
      <c r="G123" s="229">
        <v>4062.27</v>
      </c>
      <c r="H123" s="229">
        <v>4062.27</v>
      </c>
      <c r="I123" s="613"/>
      <c r="M123" s="492"/>
    </row>
    <row r="124" spans="1:31" ht="13.15" customHeight="1">
      <c r="A124" s="350"/>
      <c r="B124" s="972" t="s">
        <v>619</v>
      </c>
      <c r="C124" s="971"/>
      <c r="D124" s="353" t="s">
        <v>44</v>
      </c>
      <c r="E124" s="137"/>
      <c r="F124" s="137"/>
      <c r="G124" s="229"/>
      <c r="H124" s="229"/>
      <c r="I124" s="613"/>
      <c r="M124" s="492"/>
    </row>
    <row r="125" spans="1:31" ht="14.45" customHeight="1">
      <c r="A125" s="350"/>
      <c r="B125" s="1100" t="s">
        <v>222</v>
      </c>
      <c r="C125" s="1100"/>
      <c r="D125" s="559" t="s">
        <v>221</v>
      </c>
      <c r="E125" s="137"/>
      <c r="F125" s="137"/>
      <c r="G125" s="229"/>
      <c r="H125" s="229"/>
      <c r="I125" s="613"/>
      <c r="M125" s="492"/>
    </row>
    <row r="126" spans="1:31" ht="13.9" customHeight="1">
      <c r="A126" s="350"/>
      <c r="B126" s="1043" t="s">
        <v>220</v>
      </c>
      <c r="C126" s="962"/>
      <c r="D126" s="559" t="s">
        <v>219</v>
      </c>
      <c r="E126" s="137"/>
      <c r="F126" s="137"/>
      <c r="G126" s="229"/>
      <c r="H126" s="229"/>
      <c r="I126" s="613"/>
      <c r="M126" s="492"/>
    </row>
    <row r="127" spans="1:31" ht="13.9" customHeight="1">
      <c r="A127" s="350"/>
      <c r="B127" s="1100" t="s">
        <v>218</v>
      </c>
      <c r="C127" s="1100"/>
      <c r="D127" s="559" t="s">
        <v>217</v>
      </c>
      <c r="E127" s="137"/>
      <c r="F127" s="137"/>
      <c r="G127" s="229"/>
      <c r="H127" s="229"/>
      <c r="I127" s="613"/>
      <c r="M127" s="492"/>
    </row>
    <row r="128" spans="1:31" s="338" customFormat="1" ht="15" customHeight="1">
      <c r="A128" s="350" t="s">
        <v>216</v>
      </c>
      <c r="B128" s="352"/>
      <c r="C128" s="351"/>
      <c r="D128" s="228" t="s">
        <v>215</v>
      </c>
      <c r="E128" s="187">
        <f t="shared" ref="E128" si="56">E129+E134</f>
        <v>0</v>
      </c>
      <c r="F128" s="187">
        <f t="shared" ref="F128:H128" si="57">F129+F134</f>
        <v>0</v>
      </c>
      <c r="G128" s="334">
        <f t="shared" si="57"/>
        <v>20000000</v>
      </c>
      <c r="H128" s="334">
        <f t="shared" si="57"/>
        <v>20000000</v>
      </c>
      <c r="I128" s="613"/>
      <c r="J128" s="532"/>
      <c r="K128" s="298"/>
      <c r="L128" s="298"/>
      <c r="M128" s="492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</row>
    <row r="129" spans="1:108" ht="15" customHeight="1">
      <c r="A129" s="346" t="s">
        <v>214</v>
      </c>
      <c r="B129" s="222"/>
      <c r="C129" s="224"/>
      <c r="D129" s="341" t="s">
        <v>213</v>
      </c>
      <c r="E129" s="135">
        <f>E130+E131+E132+E133</f>
        <v>0</v>
      </c>
      <c r="F129" s="135">
        <f t="shared" ref="F129:H129" si="58">F130+F131+F132+F133</f>
        <v>0</v>
      </c>
      <c r="G129" s="233">
        <f t="shared" si="58"/>
        <v>20000000</v>
      </c>
      <c r="H129" s="233">
        <f t="shared" si="58"/>
        <v>20000000</v>
      </c>
      <c r="I129" s="613"/>
      <c r="M129" s="492"/>
    </row>
    <row r="130" spans="1:108" ht="15" customHeight="1">
      <c r="A130" s="960" t="s">
        <v>618</v>
      </c>
      <c r="B130" s="961"/>
      <c r="C130" s="962"/>
      <c r="D130" s="559" t="s">
        <v>211</v>
      </c>
      <c r="E130" s="137"/>
      <c r="F130" s="137"/>
      <c r="G130" s="229"/>
      <c r="H130" s="229"/>
      <c r="I130" s="613"/>
      <c r="M130" s="492"/>
    </row>
    <row r="131" spans="1:108" ht="13.15" customHeight="1">
      <c r="A131" s="1101" t="s">
        <v>617</v>
      </c>
      <c r="B131" s="1100"/>
      <c r="C131" s="1100"/>
      <c r="D131" s="559" t="s">
        <v>209</v>
      </c>
      <c r="E131" s="137"/>
      <c r="F131" s="137"/>
      <c r="G131" s="229"/>
      <c r="H131" s="229"/>
      <c r="I131" s="613"/>
      <c r="M131" s="492"/>
    </row>
    <row r="132" spans="1:108" ht="26.25" customHeight="1">
      <c r="A132" s="547"/>
      <c r="B132" s="931" t="s">
        <v>705</v>
      </c>
      <c r="C132" s="932"/>
      <c r="D132" s="498" t="s">
        <v>706</v>
      </c>
      <c r="E132" s="137"/>
      <c r="F132" s="137"/>
      <c r="G132" s="229">
        <v>0</v>
      </c>
      <c r="H132" s="229">
        <v>0</v>
      </c>
      <c r="I132" s="613"/>
      <c r="M132" s="492"/>
    </row>
    <row r="133" spans="1:108" ht="28.5" customHeight="1">
      <c r="A133" s="350"/>
      <c r="B133" s="973" t="s">
        <v>616</v>
      </c>
      <c r="C133" s="932"/>
      <c r="D133" s="222" t="s">
        <v>205</v>
      </c>
      <c r="E133" s="137"/>
      <c r="F133" s="137"/>
      <c r="G133" s="229">
        <v>20000000</v>
      </c>
      <c r="H133" s="229">
        <v>20000000</v>
      </c>
      <c r="I133" s="613"/>
      <c r="M133" s="492"/>
    </row>
    <row r="134" spans="1:108" ht="15" customHeight="1">
      <c r="A134" s="1102" t="s">
        <v>615</v>
      </c>
      <c r="B134" s="1103"/>
      <c r="C134" s="1104"/>
      <c r="D134" s="341" t="s">
        <v>475</v>
      </c>
      <c r="E134" s="201">
        <f t="shared" ref="E134" si="59">E135+E136</f>
        <v>0</v>
      </c>
      <c r="F134" s="201">
        <f t="shared" ref="F134:H134" si="60">F135+F136</f>
        <v>0</v>
      </c>
      <c r="G134" s="437">
        <f t="shared" si="60"/>
        <v>0</v>
      </c>
      <c r="H134" s="437">
        <f t="shared" si="60"/>
        <v>0</v>
      </c>
      <c r="I134" s="613"/>
      <c r="M134" s="492"/>
    </row>
    <row r="135" spans="1:108" ht="37.9" hidden="1" customHeight="1">
      <c r="A135" s="350"/>
      <c r="B135" s="912" t="s">
        <v>614</v>
      </c>
      <c r="C135" s="912"/>
      <c r="D135" s="349" t="s">
        <v>202</v>
      </c>
      <c r="E135" s="137"/>
      <c r="F135" s="137"/>
      <c r="G135" s="229"/>
      <c r="H135" s="229"/>
      <c r="I135" s="613" t="e">
        <f>H135/F135</f>
        <v>#DIV/0!</v>
      </c>
      <c r="M135" s="492"/>
    </row>
    <row r="136" spans="1:108" ht="39" hidden="1" customHeight="1">
      <c r="A136" s="350"/>
      <c r="B136" s="912" t="s">
        <v>613</v>
      </c>
      <c r="C136" s="912"/>
      <c r="D136" s="349" t="s">
        <v>612</v>
      </c>
      <c r="E136" s="137"/>
      <c r="F136" s="137"/>
      <c r="G136" s="229"/>
      <c r="H136" s="229"/>
      <c r="I136" s="613" t="e">
        <f>H136/F136</f>
        <v>#DIV/0!</v>
      </c>
      <c r="M136" s="492"/>
    </row>
    <row r="137" spans="1:108" s="338" customFormat="1" ht="15" customHeight="1">
      <c r="A137" s="1105" t="s">
        <v>611</v>
      </c>
      <c r="B137" s="1106"/>
      <c r="C137" s="1106"/>
      <c r="D137" s="228"/>
      <c r="E137" s="187">
        <f t="shared" ref="E137:H137" si="61">E138</f>
        <v>79638000</v>
      </c>
      <c r="F137" s="187">
        <f t="shared" si="61"/>
        <v>68084000</v>
      </c>
      <c r="G137" s="334">
        <f t="shared" si="61"/>
        <v>21097879.98</v>
      </c>
      <c r="H137" s="334">
        <f t="shared" si="61"/>
        <v>21097879.98</v>
      </c>
      <c r="I137" s="613">
        <f>H137/F137</f>
        <v>0.30988014775865108</v>
      </c>
      <c r="J137" s="532"/>
      <c r="K137" s="298"/>
      <c r="L137" s="298"/>
      <c r="M137" s="492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</row>
    <row r="138" spans="1:108" s="338" customFormat="1" ht="15" customHeight="1">
      <c r="A138" s="1095" t="s">
        <v>610</v>
      </c>
      <c r="B138" s="1096"/>
      <c r="C138" s="1097"/>
      <c r="D138" s="228" t="s">
        <v>198</v>
      </c>
      <c r="E138" s="187">
        <f>E139+E166</f>
        <v>79638000</v>
      </c>
      <c r="F138" s="187">
        <f>F139+F166</f>
        <v>68084000</v>
      </c>
      <c r="G138" s="334">
        <f>G139+G166</f>
        <v>21097879.98</v>
      </c>
      <c r="H138" s="334">
        <f>H139+H166</f>
        <v>21097879.98</v>
      </c>
      <c r="I138" s="613">
        <f>H138/F138</f>
        <v>0.30988014775865108</v>
      </c>
      <c r="J138" s="532"/>
      <c r="K138" s="298"/>
      <c r="L138" s="298"/>
      <c r="M138" s="492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</row>
    <row r="139" spans="1:108" s="338" customFormat="1" ht="15" customHeight="1">
      <c r="A139" s="1095" t="s">
        <v>609</v>
      </c>
      <c r="B139" s="1096"/>
      <c r="C139" s="1097"/>
      <c r="D139" s="341" t="s">
        <v>196</v>
      </c>
      <c r="E139" s="187">
        <f>SUM(E140:E165)</f>
        <v>79638000</v>
      </c>
      <c r="F139" s="187">
        <f t="shared" ref="F139:H139" si="62">SUM(F140:F165)</f>
        <v>68084000</v>
      </c>
      <c r="G139" s="334">
        <f t="shared" si="62"/>
        <v>21097879.98</v>
      </c>
      <c r="H139" s="334">
        <f t="shared" si="62"/>
        <v>21097879.98</v>
      </c>
      <c r="I139" s="613">
        <f>H139/F139</f>
        <v>0.30988014775865108</v>
      </c>
      <c r="J139" s="532"/>
      <c r="K139" s="412"/>
      <c r="L139" s="412"/>
      <c r="M139" s="492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</row>
    <row r="140" spans="1:108" ht="15" customHeight="1">
      <c r="A140" s="346"/>
      <c r="B140" s="1100" t="s">
        <v>195</v>
      </c>
      <c r="C140" s="1100"/>
      <c r="D140" s="559" t="s">
        <v>194</v>
      </c>
      <c r="E140" s="137"/>
      <c r="F140" s="137"/>
      <c r="G140" s="229"/>
      <c r="H140" s="229"/>
      <c r="I140" s="613"/>
      <c r="M140" s="492"/>
    </row>
    <row r="141" spans="1:108" s="2" customFormat="1" ht="18" customHeight="1">
      <c r="A141" s="346"/>
      <c r="B141" s="224" t="s">
        <v>193</v>
      </c>
      <c r="C141" s="222"/>
      <c r="D141" s="559" t="s">
        <v>192</v>
      </c>
      <c r="E141" s="137"/>
      <c r="F141" s="137"/>
      <c r="G141" s="229"/>
      <c r="H141" s="229"/>
      <c r="I141" s="613"/>
      <c r="J141" s="531"/>
      <c r="M141" s="492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s="2" customFormat="1" ht="15.75" customHeight="1">
      <c r="A142" s="346"/>
      <c r="B142" s="224" t="s">
        <v>191</v>
      </c>
      <c r="C142" s="222"/>
      <c r="D142" s="559" t="s">
        <v>190</v>
      </c>
      <c r="E142" s="137"/>
      <c r="F142" s="137"/>
      <c r="G142" s="229"/>
      <c r="H142" s="229"/>
      <c r="I142" s="613"/>
      <c r="J142" s="531"/>
      <c r="M142" s="492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s="2" customFormat="1" ht="15.75" customHeight="1">
      <c r="A143" s="346"/>
      <c r="B143" s="224" t="s">
        <v>189</v>
      </c>
      <c r="C143" s="222"/>
      <c r="D143" s="559" t="s">
        <v>188</v>
      </c>
      <c r="E143" s="137"/>
      <c r="F143" s="137"/>
      <c r="G143" s="229"/>
      <c r="H143" s="229"/>
      <c r="I143" s="613"/>
      <c r="J143" s="531"/>
      <c r="M143" s="492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s="2" customFormat="1" ht="31.5" customHeight="1">
      <c r="A144" s="348"/>
      <c r="B144" s="1087" t="s">
        <v>187</v>
      </c>
      <c r="C144" s="1087"/>
      <c r="D144" s="559" t="s">
        <v>186</v>
      </c>
      <c r="E144" s="137"/>
      <c r="F144" s="137"/>
      <c r="G144" s="229"/>
      <c r="H144" s="229"/>
      <c r="I144" s="613"/>
      <c r="J144" s="531"/>
      <c r="M144" s="492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s="2" customFormat="1" ht="17.25" customHeight="1">
      <c r="A145" s="346"/>
      <c r="B145" s="224" t="s">
        <v>185</v>
      </c>
      <c r="C145" s="222"/>
      <c r="D145" s="559" t="s">
        <v>184</v>
      </c>
      <c r="E145" s="137"/>
      <c r="F145" s="137"/>
      <c r="G145" s="229"/>
      <c r="H145" s="229"/>
      <c r="I145" s="613"/>
      <c r="J145" s="531"/>
      <c r="M145" s="492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s="2" customFormat="1" ht="24.75" customHeight="1">
      <c r="A146" s="346"/>
      <c r="B146" s="1078" t="s">
        <v>183</v>
      </c>
      <c r="C146" s="1078"/>
      <c r="D146" s="559" t="s">
        <v>182</v>
      </c>
      <c r="E146" s="179"/>
      <c r="F146" s="179"/>
      <c r="G146" s="326"/>
      <c r="H146" s="326"/>
      <c r="I146" s="613"/>
      <c r="J146" s="531"/>
      <c r="M146" s="492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108" s="2" customFormat="1" ht="24.75" customHeight="1">
      <c r="A147" s="346"/>
      <c r="B147" s="1078" t="s">
        <v>181</v>
      </c>
      <c r="C147" s="1078"/>
      <c r="D147" s="559" t="s">
        <v>180</v>
      </c>
      <c r="E147" s="137"/>
      <c r="F147" s="137"/>
      <c r="G147" s="229"/>
      <c r="H147" s="229"/>
      <c r="I147" s="613"/>
      <c r="J147" s="531"/>
      <c r="M147" s="492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</row>
    <row r="148" spans="1:108" s="2" customFormat="1" ht="17.25" customHeight="1">
      <c r="A148" s="346"/>
      <c r="B148" s="1078" t="s">
        <v>179</v>
      </c>
      <c r="C148" s="1078"/>
      <c r="D148" s="559" t="s">
        <v>178</v>
      </c>
      <c r="E148" s="137"/>
      <c r="F148" s="137"/>
      <c r="G148" s="229"/>
      <c r="H148" s="229"/>
      <c r="I148" s="613"/>
      <c r="J148" s="531"/>
      <c r="M148" s="492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</row>
    <row r="149" spans="1:108" s="2" customFormat="1" ht="17.25" customHeight="1">
      <c r="A149" s="346"/>
      <c r="B149" s="1078" t="s">
        <v>177</v>
      </c>
      <c r="C149" s="1078"/>
      <c r="D149" s="559" t="s">
        <v>176</v>
      </c>
      <c r="E149" s="137"/>
      <c r="F149" s="137"/>
      <c r="G149" s="229"/>
      <c r="H149" s="229"/>
      <c r="I149" s="613"/>
      <c r="J149" s="531"/>
      <c r="M149" s="492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</row>
    <row r="150" spans="1:108" s="2" customFormat="1" ht="27.75" customHeight="1">
      <c r="A150" s="346"/>
      <c r="B150" s="1087" t="s">
        <v>175</v>
      </c>
      <c r="C150" s="1087"/>
      <c r="D150" s="559" t="s">
        <v>174</v>
      </c>
      <c r="E150" s="137"/>
      <c r="F150" s="137"/>
      <c r="G150" s="229"/>
      <c r="H150" s="229"/>
      <c r="I150" s="613"/>
      <c r="J150" s="531"/>
      <c r="M150" s="492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</row>
    <row r="151" spans="1:108" s="2" customFormat="1" ht="25.5" customHeight="1">
      <c r="A151" s="346"/>
      <c r="B151" s="1087" t="s">
        <v>660</v>
      </c>
      <c r="C151" s="1087"/>
      <c r="D151" s="559" t="s">
        <v>172</v>
      </c>
      <c r="E151" s="137">
        <v>0</v>
      </c>
      <c r="F151" s="137"/>
      <c r="G151" s="229"/>
      <c r="H151" s="229"/>
      <c r="I151" s="613"/>
      <c r="J151" s="531"/>
      <c r="M151" s="492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</row>
    <row r="152" spans="1:108" s="2" customFormat="1" ht="25.5" customHeight="1">
      <c r="A152" s="346"/>
      <c r="B152" s="863" t="s">
        <v>171</v>
      </c>
      <c r="C152" s="863"/>
      <c r="D152" s="559" t="s">
        <v>170</v>
      </c>
      <c r="E152" s="406"/>
      <c r="F152" s="406"/>
      <c r="G152" s="407"/>
      <c r="H152" s="407"/>
      <c r="I152" s="613"/>
      <c r="J152" s="531"/>
      <c r="M152" s="492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</row>
    <row r="153" spans="1:108" s="2" customFormat="1" ht="37.5" hidden="1" customHeight="1">
      <c r="A153" s="200"/>
      <c r="B153" s="863"/>
      <c r="C153" s="863"/>
      <c r="D153" s="576"/>
      <c r="E153" s="407"/>
      <c r="F153" s="407"/>
      <c r="G153" s="407"/>
      <c r="H153" s="407"/>
      <c r="I153" s="613" t="e">
        <f>H153/F153</f>
        <v>#DIV/0!</v>
      </c>
      <c r="J153" s="531"/>
      <c r="M153" s="492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</row>
    <row r="154" spans="1:108" s="2" customFormat="1" ht="13.9" customHeight="1">
      <c r="A154" s="200"/>
      <c r="B154" s="1087" t="s">
        <v>163</v>
      </c>
      <c r="C154" s="1087"/>
      <c r="D154" s="576" t="s">
        <v>162</v>
      </c>
      <c r="E154" s="137">
        <v>1730000</v>
      </c>
      <c r="F154" s="137">
        <f>550000+600000</f>
        <v>1150000</v>
      </c>
      <c r="G154" s="229">
        <v>197066</v>
      </c>
      <c r="H154" s="229">
        <v>197066</v>
      </c>
      <c r="I154" s="613">
        <f>H154/F154</f>
        <v>0.17136173913043479</v>
      </c>
      <c r="J154" s="531"/>
      <c r="M154" s="492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</row>
    <row r="155" spans="1:108" s="2" customFormat="1" ht="28.5" customHeight="1">
      <c r="A155" s="346"/>
      <c r="B155" s="1087" t="s">
        <v>608</v>
      </c>
      <c r="C155" s="1087"/>
      <c r="D155" s="559" t="s">
        <v>607</v>
      </c>
      <c r="E155" s="137"/>
      <c r="F155" s="137"/>
      <c r="G155" s="229"/>
      <c r="H155" s="229"/>
      <c r="I155" s="613"/>
      <c r="J155" s="531"/>
      <c r="M155" s="492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</row>
    <row r="156" spans="1:108" s="2" customFormat="1" ht="25.5" customHeight="1">
      <c r="A156" s="346"/>
      <c r="B156" s="1087" t="s">
        <v>169</v>
      </c>
      <c r="C156" s="1087"/>
      <c r="D156" s="559" t="s">
        <v>168</v>
      </c>
      <c r="E156" s="137">
        <v>215000</v>
      </c>
      <c r="F156" s="137">
        <v>215000</v>
      </c>
      <c r="G156" s="229"/>
      <c r="H156" s="229"/>
      <c r="I156" s="613">
        <f>H156/F156</f>
        <v>0</v>
      </c>
      <c r="J156" s="531"/>
      <c r="M156" s="492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</row>
    <row r="157" spans="1:108" ht="12.6" customHeight="1">
      <c r="A157" s="346"/>
      <c r="B157" s="1087" t="s">
        <v>159</v>
      </c>
      <c r="C157" s="1087"/>
      <c r="D157" s="559" t="s">
        <v>158</v>
      </c>
      <c r="E157" s="137"/>
      <c r="F157" s="137"/>
      <c r="G157" s="229"/>
      <c r="H157" s="229"/>
      <c r="I157" s="613"/>
      <c r="M157" s="492"/>
    </row>
    <row r="158" spans="1:108" ht="13.9" customHeight="1">
      <c r="A158" s="200"/>
      <c r="B158" s="1087" t="s">
        <v>606</v>
      </c>
      <c r="C158" s="1087"/>
      <c r="D158" s="559" t="s">
        <v>605</v>
      </c>
      <c r="E158" s="137">
        <v>0</v>
      </c>
      <c r="F158" s="137"/>
      <c r="G158" s="229"/>
      <c r="H158" s="229"/>
      <c r="I158" s="613"/>
      <c r="M158" s="492"/>
    </row>
    <row r="159" spans="1:108" s="507" customFormat="1" ht="24" customHeight="1">
      <c r="A159" s="505"/>
      <c r="B159" s="1098" t="s">
        <v>692</v>
      </c>
      <c r="C159" s="1099"/>
      <c r="D159" s="506" t="s">
        <v>690</v>
      </c>
      <c r="E159" s="362">
        <v>630000</v>
      </c>
      <c r="F159" s="362">
        <f>195000+168000</f>
        <v>363000</v>
      </c>
      <c r="G159" s="441">
        <v>310000</v>
      </c>
      <c r="H159" s="441">
        <v>310000</v>
      </c>
      <c r="I159" s="613">
        <f>H159/F159</f>
        <v>0.85399449035812669</v>
      </c>
      <c r="J159" s="536"/>
      <c r="M159" s="508"/>
    </row>
    <row r="160" spans="1:108">
      <c r="A160" s="346"/>
      <c r="B160" s="1087"/>
      <c r="C160" s="1087"/>
      <c r="D160" s="559" t="s">
        <v>148</v>
      </c>
      <c r="E160" s="137"/>
      <c r="F160" s="137"/>
      <c r="G160" s="229"/>
      <c r="H160" s="229"/>
      <c r="I160" s="613"/>
      <c r="M160" s="492"/>
    </row>
    <row r="161" spans="1:31" ht="13.9" customHeight="1">
      <c r="A161" s="346"/>
      <c r="B161" s="1087" t="s">
        <v>604</v>
      </c>
      <c r="C161" s="1087"/>
      <c r="D161" s="559" t="s">
        <v>147</v>
      </c>
      <c r="E161" s="137"/>
      <c r="F161" s="137"/>
      <c r="G161" s="229"/>
      <c r="H161" s="229"/>
      <c r="I161" s="613"/>
      <c r="M161" s="492"/>
    </row>
    <row r="162" spans="1:31" ht="13.9" customHeight="1">
      <c r="A162" s="346"/>
      <c r="B162" s="973" t="s">
        <v>146</v>
      </c>
      <c r="C162" s="932"/>
      <c r="D162" s="559" t="s">
        <v>145</v>
      </c>
      <c r="E162" s="501">
        <v>51273000</v>
      </c>
      <c r="F162" s="501">
        <f>17000000+34273000</f>
        <v>51273000</v>
      </c>
      <c r="G162" s="502">
        <v>19322572.609999999</v>
      </c>
      <c r="H162" s="502">
        <v>19322572.609999999</v>
      </c>
      <c r="I162" s="613">
        <f>H162/F162</f>
        <v>0.376856681099214</v>
      </c>
      <c r="M162" s="492"/>
    </row>
    <row r="163" spans="1:31" ht="39" customHeight="1">
      <c r="A163" s="347"/>
      <c r="B163" s="863" t="s">
        <v>603</v>
      </c>
      <c r="C163" s="863"/>
      <c r="D163" s="559" t="s">
        <v>166</v>
      </c>
      <c r="E163" s="229">
        <v>24379000</v>
      </c>
      <c r="F163" s="229">
        <v>13672000</v>
      </c>
      <c r="G163" s="229">
        <v>1268241.3700000001</v>
      </c>
      <c r="H163" s="229">
        <v>1268241.3700000001</v>
      </c>
      <c r="I163" s="615">
        <f>H163/F163</f>
        <v>9.2761949239321254E-2</v>
      </c>
      <c r="M163" s="492"/>
    </row>
    <row r="164" spans="1:31">
      <c r="A164" s="347"/>
      <c r="B164" s="928" t="s">
        <v>686</v>
      </c>
      <c r="C164" s="869"/>
      <c r="D164" s="498" t="s">
        <v>685</v>
      </c>
      <c r="E164" s="229"/>
      <c r="F164" s="229"/>
      <c r="G164" s="229"/>
      <c r="H164" s="229"/>
      <c r="I164" s="613"/>
      <c r="M164" s="492"/>
    </row>
    <row r="165" spans="1:31" ht="41.25" customHeight="1">
      <c r="A165" s="347"/>
      <c r="B165" s="931" t="s">
        <v>720</v>
      </c>
      <c r="C165" s="932"/>
      <c r="D165" s="498" t="s">
        <v>721</v>
      </c>
      <c r="E165" s="229">
        <v>1411000</v>
      </c>
      <c r="F165" s="229">
        <v>1411000</v>
      </c>
      <c r="G165" s="229"/>
      <c r="H165" s="229"/>
      <c r="I165" s="613"/>
      <c r="M165" s="492"/>
    </row>
    <row r="166" spans="1:31" s="338" customFormat="1" ht="15" customHeight="1">
      <c r="A166" s="1095" t="s">
        <v>602</v>
      </c>
      <c r="B166" s="1096"/>
      <c r="C166" s="1097"/>
      <c r="D166" s="341" t="s">
        <v>154</v>
      </c>
      <c r="E166" s="201">
        <f t="shared" ref="E166" si="63">E167+E168+E169</f>
        <v>0</v>
      </c>
      <c r="F166" s="201">
        <f t="shared" ref="F166:H166" si="64">F167+F168+F169</f>
        <v>0</v>
      </c>
      <c r="G166" s="437">
        <f t="shared" si="64"/>
        <v>0</v>
      </c>
      <c r="H166" s="437">
        <f t="shared" si="64"/>
        <v>0</v>
      </c>
      <c r="I166" s="613"/>
      <c r="J166" s="532"/>
      <c r="K166" s="298"/>
      <c r="L166" s="298"/>
      <c r="M166" s="492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</row>
    <row r="167" spans="1:31" ht="24" hidden="1" customHeight="1">
      <c r="A167" s="346"/>
      <c r="B167" s="1087" t="s">
        <v>153</v>
      </c>
      <c r="C167" s="1087"/>
      <c r="D167" s="559" t="s">
        <v>152</v>
      </c>
      <c r="E167" s="137"/>
      <c r="F167" s="137"/>
      <c r="G167" s="229"/>
      <c r="H167" s="229"/>
      <c r="I167" s="613"/>
      <c r="M167" s="492"/>
    </row>
    <row r="168" spans="1:31" ht="26.25" hidden="1" customHeight="1">
      <c r="A168" s="345"/>
      <c r="B168" s="1087" t="s">
        <v>151</v>
      </c>
      <c r="C168" s="1087"/>
      <c r="D168" s="559" t="s">
        <v>150</v>
      </c>
      <c r="E168" s="137"/>
      <c r="F168" s="137"/>
      <c r="G168" s="229"/>
      <c r="H168" s="229"/>
      <c r="I168" s="613"/>
      <c r="M168" s="492"/>
    </row>
    <row r="169" spans="1:31" ht="28.5" customHeight="1">
      <c r="A169" s="275"/>
      <c r="B169" s="1087" t="s">
        <v>601</v>
      </c>
      <c r="C169" s="1087"/>
      <c r="D169" s="559" t="s">
        <v>471</v>
      </c>
      <c r="E169" s="137"/>
      <c r="F169" s="137"/>
      <c r="G169" s="229"/>
      <c r="H169" s="229"/>
      <c r="I169" s="613"/>
      <c r="J169" s="531" t="s">
        <v>674</v>
      </c>
      <c r="M169" s="492"/>
    </row>
    <row r="170" spans="1:31" ht="21" customHeight="1">
      <c r="A170" s="275"/>
      <c r="B170" s="1088"/>
      <c r="C170" s="1089"/>
      <c r="D170" s="559"/>
      <c r="E170" s="137"/>
      <c r="F170" s="137"/>
      <c r="G170" s="229"/>
      <c r="H170" s="229"/>
      <c r="I170" s="613"/>
      <c r="M170" s="492"/>
      <c r="O170" s="518"/>
    </row>
    <row r="171" spans="1:31" ht="22.5" customHeight="1">
      <c r="A171" s="1090" t="s">
        <v>600</v>
      </c>
      <c r="B171" s="1091"/>
      <c r="C171" s="1091"/>
      <c r="D171" s="344" t="s">
        <v>143</v>
      </c>
      <c r="E171" s="137"/>
      <c r="F171" s="137"/>
      <c r="G171" s="407"/>
      <c r="H171" s="407"/>
      <c r="I171" s="613"/>
      <c r="M171" s="492"/>
      <c r="O171" s="518"/>
    </row>
    <row r="172" spans="1:31" ht="22.5" customHeight="1">
      <c r="A172" s="1092" t="s">
        <v>120</v>
      </c>
      <c r="B172" s="1093"/>
      <c r="C172" s="1094"/>
      <c r="D172" s="344" t="s">
        <v>119</v>
      </c>
      <c r="E172" s="137"/>
      <c r="F172" s="137"/>
      <c r="G172" s="229">
        <v>751861.4</v>
      </c>
      <c r="H172" s="229">
        <v>751861.4</v>
      </c>
      <c r="I172" s="613"/>
      <c r="M172" s="492"/>
      <c r="O172" s="518"/>
    </row>
    <row r="173" spans="1:31" ht="25.5" customHeight="1">
      <c r="A173" s="1090" t="s">
        <v>599</v>
      </c>
      <c r="B173" s="1091"/>
      <c r="C173" s="1091"/>
      <c r="D173" s="343" t="s">
        <v>117</v>
      </c>
      <c r="E173" s="369">
        <f t="shared" ref="E173" si="65">E190+E191</f>
        <v>133843000</v>
      </c>
      <c r="F173" s="369">
        <f t="shared" ref="F173:H173" si="66">F190+F191</f>
        <v>67659000</v>
      </c>
      <c r="G173" s="411">
        <f t="shared" si="66"/>
        <v>7062918.7599999998</v>
      </c>
      <c r="H173" s="411">
        <f t="shared" si="66"/>
        <v>7062918.7599999998</v>
      </c>
      <c r="I173" s="613">
        <f t="shared" ref="I173:I195" si="67">H173/F173</f>
        <v>0.10438993718500125</v>
      </c>
      <c r="M173" s="492"/>
      <c r="N173" s="100"/>
      <c r="O173" s="100"/>
    </row>
    <row r="174" spans="1:31" s="338" customFormat="1" ht="15.6" hidden="1" customHeight="1">
      <c r="A174" s="1084" t="s">
        <v>598</v>
      </c>
      <c r="B174" s="1085"/>
      <c r="C174" s="1085"/>
      <c r="D174" s="341" t="s">
        <v>141</v>
      </c>
      <c r="E174" s="187"/>
      <c r="F174" s="187"/>
      <c r="G174" s="334"/>
      <c r="H174" s="334"/>
      <c r="I174" s="613" t="e">
        <f t="shared" si="67"/>
        <v>#DIV/0!</v>
      </c>
      <c r="J174" s="532"/>
      <c r="K174" s="298"/>
      <c r="L174" s="298"/>
      <c r="M174" s="492" t="e">
        <f>H174-#REF!</f>
        <v>#REF!</v>
      </c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</row>
    <row r="175" spans="1:31" ht="15" hidden="1" customHeight="1">
      <c r="A175" s="340"/>
      <c r="B175" s="1086" t="s">
        <v>126</v>
      </c>
      <c r="C175" s="1076"/>
      <c r="D175" s="342" t="s">
        <v>140</v>
      </c>
      <c r="E175" s="137"/>
      <c r="F175" s="137"/>
      <c r="G175" s="229"/>
      <c r="H175" s="229"/>
      <c r="I175" s="613" t="e">
        <f t="shared" si="67"/>
        <v>#DIV/0!</v>
      </c>
      <c r="M175" s="492" t="e">
        <f>H175-#REF!</f>
        <v>#REF!</v>
      </c>
    </row>
    <row r="176" spans="1:31" ht="15" hidden="1" customHeight="1">
      <c r="A176" s="340"/>
      <c r="B176" s="1075" t="s">
        <v>134</v>
      </c>
      <c r="C176" s="1076"/>
      <c r="D176" s="342" t="s">
        <v>139</v>
      </c>
      <c r="E176" s="137"/>
      <c r="F176" s="137"/>
      <c r="G176" s="229"/>
      <c r="H176" s="229"/>
      <c r="I176" s="613" t="e">
        <f t="shared" si="67"/>
        <v>#DIV/0!</v>
      </c>
      <c r="M176" s="492" t="e">
        <f>H176-#REF!</f>
        <v>#REF!</v>
      </c>
    </row>
    <row r="177" spans="1:31" ht="15" hidden="1" customHeight="1">
      <c r="A177" s="340"/>
      <c r="B177" s="1075" t="s">
        <v>122</v>
      </c>
      <c r="C177" s="1076"/>
      <c r="D177" s="342" t="s">
        <v>138</v>
      </c>
      <c r="E177" s="137"/>
      <c r="F177" s="137"/>
      <c r="G177" s="229"/>
      <c r="H177" s="229"/>
      <c r="I177" s="613" t="e">
        <f t="shared" si="67"/>
        <v>#DIV/0!</v>
      </c>
      <c r="M177" s="492" t="e">
        <f>H177-#REF!</f>
        <v>#REF!</v>
      </c>
    </row>
    <row r="178" spans="1:31" s="338" customFormat="1" ht="15" hidden="1" customHeight="1">
      <c r="A178" s="1084" t="s">
        <v>137</v>
      </c>
      <c r="B178" s="1085"/>
      <c r="C178" s="1085"/>
      <c r="D178" s="341" t="s">
        <v>136</v>
      </c>
      <c r="E178" s="201"/>
      <c r="F178" s="201"/>
      <c r="G178" s="437"/>
      <c r="H178" s="437"/>
      <c r="I178" s="613" t="e">
        <f t="shared" si="67"/>
        <v>#DIV/0!</v>
      </c>
      <c r="J178" s="532"/>
      <c r="K178" s="298"/>
      <c r="L178" s="298"/>
      <c r="M178" s="492" t="e">
        <f>H178-#REF!</f>
        <v>#REF!</v>
      </c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</row>
    <row r="179" spans="1:31" ht="15" hidden="1" customHeight="1">
      <c r="A179" s="340"/>
      <c r="B179" s="1075" t="s">
        <v>126</v>
      </c>
      <c r="C179" s="1076"/>
      <c r="D179" s="342" t="s">
        <v>135</v>
      </c>
      <c r="E179" s="137"/>
      <c r="F179" s="137"/>
      <c r="G179" s="229"/>
      <c r="H179" s="229"/>
      <c r="I179" s="613" t="e">
        <f t="shared" si="67"/>
        <v>#DIV/0!</v>
      </c>
      <c r="M179" s="492" t="e">
        <f>H179-#REF!</f>
        <v>#REF!</v>
      </c>
    </row>
    <row r="180" spans="1:31" ht="15" hidden="1" customHeight="1">
      <c r="A180" s="340"/>
      <c r="B180" s="1075" t="s">
        <v>134</v>
      </c>
      <c r="C180" s="1076"/>
      <c r="D180" s="342" t="s">
        <v>133</v>
      </c>
      <c r="E180" s="137"/>
      <c r="F180" s="137"/>
      <c r="G180" s="229"/>
      <c r="H180" s="229"/>
      <c r="I180" s="613" t="e">
        <f t="shared" si="67"/>
        <v>#DIV/0!</v>
      </c>
      <c r="M180" s="492" t="e">
        <f>H180-#REF!</f>
        <v>#REF!</v>
      </c>
    </row>
    <row r="181" spans="1:31" ht="15" hidden="1" customHeight="1">
      <c r="A181" s="340"/>
      <c r="B181" s="1075" t="s">
        <v>122</v>
      </c>
      <c r="C181" s="1076"/>
      <c r="D181" s="342" t="s">
        <v>132</v>
      </c>
      <c r="E181" s="137"/>
      <c r="F181" s="137"/>
      <c r="G181" s="229"/>
      <c r="H181" s="229"/>
      <c r="I181" s="613" t="e">
        <f t="shared" si="67"/>
        <v>#DIV/0!</v>
      </c>
      <c r="M181" s="492" t="e">
        <f>H181-#REF!</f>
        <v>#REF!</v>
      </c>
    </row>
    <row r="182" spans="1:31" ht="15.6" hidden="1" customHeight="1">
      <c r="A182" s="1084" t="s">
        <v>597</v>
      </c>
      <c r="B182" s="1085"/>
      <c r="C182" s="1085"/>
      <c r="D182" s="341" t="s">
        <v>130</v>
      </c>
      <c r="E182" s="201"/>
      <c r="F182" s="201"/>
      <c r="G182" s="437"/>
      <c r="H182" s="437"/>
      <c r="I182" s="613" t="e">
        <f t="shared" si="67"/>
        <v>#DIV/0!</v>
      </c>
      <c r="M182" s="492" t="e">
        <f>H182-#REF!</f>
        <v>#REF!</v>
      </c>
    </row>
    <row r="183" spans="1:31" ht="16.5" hidden="1" customHeight="1">
      <c r="A183" s="340"/>
      <c r="B183" s="1075" t="s">
        <v>134</v>
      </c>
      <c r="C183" s="1076"/>
      <c r="D183" s="559" t="s">
        <v>129</v>
      </c>
      <c r="E183" s="137"/>
      <c r="F183" s="137"/>
      <c r="G183" s="229"/>
      <c r="H183" s="229"/>
      <c r="I183" s="613" t="e">
        <f t="shared" si="67"/>
        <v>#DIV/0!</v>
      </c>
      <c r="M183" s="492" t="e">
        <f>H183-#REF!</f>
        <v>#REF!</v>
      </c>
    </row>
    <row r="184" spans="1:31" s="338" customFormat="1" ht="16.5" hidden="1" customHeight="1">
      <c r="A184" s="1084" t="s">
        <v>128</v>
      </c>
      <c r="B184" s="1085"/>
      <c r="C184" s="1085"/>
      <c r="D184" s="341" t="s">
        <v>127</v>
      </c>
      <c r="E184" s="201"/>
      <c r="F184" s="201"/>
      <c r="G184" s="437"/>
      <c r="H184" s="437"/>
      <c r="I184" s="613" t="e">
        <f t="shared" si="67"/>
        <v>#DIV/0!</v>
      </c>
      <c r="J184" s="532"/>
      <c r="K184" s="298"/>
      <c r="L184" s="298"/>
      <c r="M184" s="492" t="e">
        <f>H184-#REF!</f>
        <v>#REF!</v>
      </c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8"/>
      <c r="AE184" s="298"/>
    </row>
    <row r="185" spans="1:31" ht="16.5" hidden="1" customHeight="1">
      <c r="A185" s="340"/>
      <c r="B185" s="1075" t="s">
        <v>126</v>
      </c>
      <c r="C185" s="1076"/>
      <c r="D185" s="559" t="s">
        <v>125</v>
      </c>
      <c r="E185" s="137"/>
      <c r="F185" s="137"/>
      <c r="G185" s="229"/>
      <c r="H185" s="229"/>
      <c r="I185" s="613" t="e">
        <f t="shared" si="67"/>
        <v>#DIV/0!</v>
      </c>
      <c r="M185" s="492" t="e">
        <f>H185-#REF!</f>
        <v>#REF!</v>
      </c>
    </row>
    <row r="186" spans="1:31" ht="16.5" hidden="1" customHeight="1">
      <c r="A186" s="340"/>
      <c r="B186" s="1075" t="s">
        <v>134</v>
      </c>
      <c r="C186" s="1076"/>
      <c r="D186" s="559" t="s">
        <v>123</v>
      </c>
      <c r="E186" s="137"/>
      <c r="F186" s="137"/>
      <c r="G186" s="229"/>
      <c r="H186" s="229"/>
      <c r="I186" s="613" t="e">
        <f t="shared" si="67"/>
        <v>#DIV/0!</v>
      </c>
      <c r="M186" s="492" t="e">
        <f>H186-#REF!</f>
        <v>#REF!</v>
      </c>
    </row>
    <row r="187" spans="1:31" ht="14.45" hidden="1" customHeight="1">
      <c r="A187" s="340"/>
      <c r="B187" s="1075" t="s">
        <v>122</v>
      </c>
      <c r="C187" s="1076"/>
      <c r="D187" s="559" t="s">
        <v>121</v>
      </c>
      <c r="E187" s="137"/>
      <c r="F187" s="137"/>
      <c r="G187" s="229"/>
      <c r="H187" s="229"/>
      <c r="I187" s="613" t="e">
        <f t="shared" si="67"/>
        <v>#DIV/0!</v>
      </c>
      <c r="M187" s="492" t="e">
        <f>H187-#REF!</f>
        <v>#REF!</v>
      </c>
    </row>
    <row r="188" spans="1:31" ht="16.5" hidden="1" customHeight="1">
      <c r="A188" s="1077"/>
      <c r="B188" s="1078"/>
      <c r="C188" s="1078"/>
      <c r="D188" s="576"/>
      <c r="E188" s="137"/>
      <c r="F188" s="137"/>
      <c r="G188" s="229"/>
      <c r="H188" s="229"/>
      <c r="I188" s="613" t="e">
        <f t="shared" si="67"/>
        <v>#DIV/0!</v>
      </c>
      <c r="M188" s="492" t="e">
        <f>H188-#REF!</f>
        <v>#REF!</v>
      </c>
    </row>
    <row r="189" spans="1:31" ht="13.15" hidden="1" customHeight="1">
      <c r="A189" s="1079"/>
      <c r="B189" s="1080"/>
      <c r="C189" s="1080"/>
      <c r="D189" s="559"/>
      <c r="E189" s="137"/>
      <c r="F189" s="137"/>
      <c r="G189" s="229"/>
      <c r="H189" s="229"/>
      <c r="I189" s="613" t="e">
        <f t="shared" si="67"/>
        <v>#DIV/0!</v>
      </c>
      <c r="M189" s="492" t="e">
        <f>H189-#REF!</f>
        <v>#REF!</v>
      </c>
    </row>
    <row r="190" spans="1:31" ht="13.15" customHeight="1">
      <c r="A190" s="1081" t="s">
        <v>116</v>
      </c>
      <c r="B190" s="1082"/>
      <c r="C190" s="1083"/>
      <c r="D190" s="559"/>
      <c r="E190" s="137">
        <v>132130000</v>
      </c>
      <c r="F190" s="137">
        <v>66505000</v>
      </c>
      <c r="G190" s="229">
        <v>6766523.29</v>
      </c>
      <c r="H190" s="229">
        <v>6766523.29</v>
      </c>
      <c r="I190" s="613">
        <f t="shared" si="67"/>
        <v>0.10174457995639426</v>
      </c>
      <c r="M190" s="492"/>
      <c r="N190" s="100"/>
      <c r="O190" s="100"/>
    </row>
    <row r="191" spans="1:31" ht="13.15" customHeight="1">
      <c r="A191" s="1081" t="s">
        <v>114</v>
      </c>
      <c r="B191" s="1082"/>
      <c r="C191" s="1083"/>
      <c r="D191" s="559"/>
      <c r="E191" s="137">
        <v>1713000</v>
      </c>
      <c r="F191" s="137">
        <f>556000+598000</f>
        <v>1154000</v>
      </c>
      <c r="G191" s="229">
        <v>296395.46999999997</v>
      </c>
      <c r="H191" s="229">
        <v>296395.46999999997</v>
      </c>
      <c r="I191" s="613">
        <f t="shared" si="67"/>
        <v>0.25684182842287695</v>
      </c>
      <c r="K191" s="100"/>
      <c r="L191" s="100"/>
      <c r="M191" s="492"/>
      <c r="O191" s="497"/>
      <c r="P191" s="497"/>
    </row>
    <row r="192" spans="1:31" s="178" customFormat="1" ht="16.899999999999999" customHeight="1">
      <c r="A192" s="1071" t="s">
        <v>596</v>
      </c>
      <c r="B192" s="1072"/>
      <c r="C192" s="1072"/>
      <c r="D192" s="24" t="s">
        <v>111</v>
      </c>
      <c r="E192" s="101">
        <f t="shared" ref="E192" si="68">E214+E242+E269+E272+E277+E282+E376+E400+E457+E524+E536+E540+E546</f>
        <v>476010000</v>
      </c>
      <c r="F192" s="101">
        <f t="shared" ref="F192:H192" si="69">F214+F242+F269+F272+F277+F282+F376+F400+F457+F524+F536+F540+F546</f>
        <v>294363000</v>
      </c>
      <c r="G192" s="101">
        <f t="shared" si="69"/>
        <v>120573313</v>
      </c>
      <c r="H192" s="101">
        <f t="shared" si="69"/>
        <v>101835341.81000002</v>
      </c>
      <c r="I192" s="613">
        <f t="shared" si="67"/>
        <v>0.34595156935484422</v>
      </c>
      <c r="J192" s="531"/>
      <c r="K192" s="100">
        <f>E193+E194+E195+E196+E197+E198+E201+E202+E203+E204+E205+E206+E208+E210+E211+E212</f>
        <v>476010000</v>
      </c>
      <c r="L192" s="100">
        <f>F193+F194+F195+F196+F197+F198+F201+F202+F203+F204+F205+F206+F208+F210+F211+F212</f>
        <v>294363000</v>
      </c>
      <c r="M192" s="100">
        <f>G193+G194+G195+G196+G197+G198+G201+G202+G203+G204+G205+G206+G208+G210+G211+G212</f>
        <v>120573313</v>
      </c>
      <c r="N192" s="100">
        <f>H193+H194+H195+H196+H197+H198+H201+H202+H203+H204+H205+H206+H208+H210+H211+H212</f>
        <v>101835341.81000002</v>
      </c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2"/>
      <c r="AE192" s="2"/>
    </row>
    <row r="193" spans="1:16" ht="15" customHeight="1">
      <c r="A193" s="1061" t="s">
        <v>466</v>
      </c>
      <c r="B193" s="1062"/>
      <c r="C193" s="1063"/>
      <c r="D193" s="337">
        <v>10</v>
      </c>
      <c r="E193" s="139">
        <f>E216+E285+E292+E401+E458</f>
        <v>70264000</v>
      </c>
      <c r="F193" s="139">
        <f>F216+F285+F292+F401+F458</f>
        <v>35848000</v>
      </c>
      <c r="G193" s="304">
        <f>G216+G285+G292+G401+G458</f>
        <v>33768513</v>
      </c>
      <c r="H193" s="304">
        <f>H216+H285+H292+H401+H458</f>
        <v>31260120.09</v>
      </c>
      <c r="I193" s="613">
        <f t="shared" si="67"/>
        <v>0.87201852516179423</v>
      </c>
      <c r="J193" s="531">
        <f t="shared" ref="J193:J256" si="70">(H193/H192)</f>
        <v>0.30696730166943204</v>
      </c>
      <c r="N193" s="100"/>
    </row>
    <row r="194" spans="1:16" ht="13.15" customHeight="1">
      <c r="A194" s="1061" t="s">
        <v>465</v>
      </c>
      <c r="B194" s="1062"/>
      <c r="C194" s="1063"/>
      <c r="D194" s="305">
        <v>20</v>
      </c>
      <c r="E194" s="139">
        <f t="shared" ref="E194" si="71">E217+E270+E273+E278+E286+E288+E293+E417+E459+E537+E547</f>
        <v>62396000</v>
      </c>
      <c r="F194" s="139">
        <f t="shared" ref="F194:H194" si="72">F217+F270+F273+F278+F286+F288+F293+F417+F459+F537+F547</f>
        <v>31749000</v>
      </c>
      <c r="G194" s="304">
        <f t="shared" si="72"/>
        <v>16518998</v>
      </c>
      <c r="H194" s="304">
        <f t="shared" si="72"/>
        <v>13661962.09</v>
      </c>
      <c r="I194" s="613">
        <f t="shared" si="67"/>
        <v>0.43031157170304574</v>
      </c>
      <c r="J194" s="531">
        <f t="shared" si="70"/>
        <v>0.43704125418156703</v>
      </c>
    </row>
    <row r="195" spans="1:16" ht="13.15" customHeight="1">
      <c r="A195" s="1073" t="s">
        <v>464</v>
      </c>
      <c r="B195" s="1074"/>
      <c r="C195" s="1074"/>
      <c r="D195" s="305">
        <v>30</v>
      </c>
      <c r="E195" s="139">
        <f t="shared" ref="E195" si="73">E271</f>
        <v>1744000</v>
      </c>
      <c r="F195" s="139">
        <f t="shared" ref="F195:H195" si="74">F271</f>
        <v>903000</v>
      </c>
      <c r="G195" s="304">
        <f t="shared" si="74"/>
        <v>706081</v>
      </c>
      <c r="H195" s="304">
        <f t="shared" si="74"/>
        <v>700972.71</v>
      </c>
      <c r="I195" s="613">
        <f t="shared" si="67"/>
        <v>0.7762709966777408</v>
      </c>
      <c r="J195" s="531">
        <f t="shared" si="70"/>
        <v>5.1308348345738969E-2</v>
      </c>
      <c r="M195" s="100"/>
      <c r="N195" s="396"/>
    </row>
    <row r="196" spans="1:16" ht="13.9" customHeight="1">
      <c r="A196" s="1073" t="s">
        <v>10</v>
      </c>
      <c r="B196" s="1074"/>
      <c r="C196" s="1074"/>
      <c r="D196" s="337" t="s">
        <v>9</v>
      </c>
      <c r="E196" s="139">
        <f t="shared" ref="E196" si="75">E548</f>
        <v>0</v>
      </c>
      <c r="F196" s="139">
        <f t="shared" ref="F196:H196" si="76">F548</f>
        <v>0</v>
      </c>
      <c r="G196" s="304">
        <f t="shared" si="76"/>
        <v>0</v>
      </c>
      <c r="H196" s="304">
        <f t="shared" si="76"/>
        <v>0</v>
      </c>
      <c r="I196" s="613"/>
      <c r="J196" s="531">
        <f t="shared" si="70"/>
        <v>0</v>
      </c>
      <c r="M196" s="100"/>
      <c r="N196" s="396"/>
    </row>
    <row r="197" spans="1:16" ht="13.9" customHeight="1">
      <c r="A197" s="1066" t="s">
        <v>97</v>
      </c>
      <c r="B197" s="1067"/>
      <c r="C197" s="1068"/>
      <c r="D197" s="337">
        <v>50</v>
      </c>
      <c r="E197" s="139">
        <f t="shared" ref="E197" si="77">E255</f>
        <v>1000000</v>
      </c>
      <c r="F197" s="139">
        <f t="shared" ref="F197:H197" si="78">F255</f>
        <v>0</v>
      </c>
      <c r="G197" s="304">
        <f t="shared" si="78"/>
        <v>0</v>
      </c>
      <c r="H197" s="304">
        <f t="shared" si="78"/>
        <v>0</v>
      </c>
      <c r="I197" s="613"/>
      <c r="J197" s="531" t="e">
        <f t="shared" si="70"/>
        <v>#DIV/0!</v>
      </c>
      <c r="M197" s="100"/>
      <c r="N197" s="396"/>
    </row>
    <row r="198" spans="1:16" ht="15" customHeight="1">
      <c r="A198" s="1066" t="s">
        <v>595</v>
      </c>
      <c r="B198" s="1067"/>
      <c r="C198" s="1068"/>
      <c r="D198" s="337" t="s">
        <v>49</v>
      </c>
      <c r="E198" s="139">
        <f t="shared" ref="E198" si="79">E218+E258+E264+E294+E377+E403+E460+E543+E604</f>
        <v>41978000</v>
      </c>
      <c r="F198" s="139">
        <f t="shared" ref="F198:H198" si="80">F218+F258+F264+F294+F377+F403+F460+F543+F604</f>
        <v>25933000</v>
      </c>
      <c r="G198" s="304">
        <f t="shared" si="80"/>
        <v>12430149</v>
      </c>
      <c r="H198" s="304">
        <f t="shared" si="80"/>
        <v>12204781.689999999</v>
      </c>
      <c r="I198" s="613">
        <f>H198/F198</f>
        <v>0.47062745112405041</v>
      </c>
      <c r="J198" s="531" t="e">
        <f t="shared" si="70"/>
        <v>#DIV/0!</v>
      </c>
      <c r="M198" s="528"/>
      <c r="N198" s="396"/>
      <c r="P198" s="100"/>
    </row>
    <row r="199" spans="1:16" ht="13.15" customHeight="1">
      <c r="A199" s="551"/>
      <c r="B199" s="984" t="s">
        <v>431</v>
      </c>
      <c r="C199" s="964"/>
      <c r="D199" s="277" t="s">
        <v>399</v>
      </c>
      <c r="E199" s="135">
        <f>E248+E295+E378+E404+E461+E544+E549</f>
        <v>29855000</v>
      </c>
      <c r="F199" s="135">
        <f>F248+F295+F378+F404+F461+F544+F549</f>
        <v>14272000</v>
      </c>
      <c r="G199" s="233">
        <f>G248+G295+G378+G404+G461+G544+G549</f>
        <v>10418818</v>
      </c>
      <c r="H199" s="233">
        <f>H248+H295+H378+H404+H461+H544+H549</f>
        <v>10193455.66</v>
      </c>
      <c r="I199" s="613">
        <f>H199/F199</f>
        <v>0.71422755465246635</v>
      </c>
      <c r="J199" s="531">
        <f t="shared" si="70"/>
        <v>0.83520180195865512</v>
      </c>
      <c r="M199" s="528"/>
    </row>
    <row r="200" spans="1:16" ht="13.9" customHeight="1">
      <c r="A200" s="311"/>
      <c r="B200" s="984" t="s">
        <v>534</v>
      </c>
      <c r="C200" s="964"/>
      <c r="D200" s="277" t="s">
        <v>39</v>
      </c>
      <c r="E200" s="135">
        <f t="shared" ref="E200" si="81">E219+E249+E296+E384+E390+E396+E432+E442+E462</f>
        <v>12123000</v>
      </c>
      <c r="F200" s="135">
        <f t="shared" ref="F200:H200" si="82">F219+F249+F296+F384+F390+F396+F432+F442+F462</f>
        <v>11661000</v>
      </c>
      <c r="G200" s="233">
        <f t="shared" si="82"/>
        <v>2011331</v>
      </c>
      <c r="H200" s="233">
        <f t="shared" si="82"/>
        <v>2011326.03</v>
      </c>
      <c r="I200" s="613">
        <f>H200/F200</f>
        <v>0.17248315153074351</v>
      </c>
      <c r="J200" s="531">
        <f t="shared" si="70"/>
        <v>0.19731542443379796</v>
      </c>
      <c r="M200" s="528"/>
    </row>
    <row r="201" spans="1:16" ht="14.45" customHeight="1">
      <c r="A201" s="1066" t="s">
        <v>109</v>
      </c>
      <c r="B201" s="1067"/>
      <c r="C201" s="1068"/>
      <c r="D201" s="337">
        <v>55</v>
      </c>
      <c r="E201" s="139">
        <f t="shared" ref="E201" si="83">E297+E526+E538+E608+E517</f>
        <v>10430000</v>
      </c>
      <c r="F201" s="139">
        <f t="shared" ref="F201:H201" si="84">F297+F526+F538+F608+F517</f>
        <v>4984000</v>
      </c>
      <c r="G201" s="304">
        <f t="shared" si="84"/>
        <v>3925919</v>
      </c>
      <c r="H201" s="304">
        <f t="shared" si="84"/>
        <v>3630153.7</v>
      </c>
      <c r="I201" s="613">
        <f>H201/F201</f>
        <v>0.72836149678972717</v>
      </c>
      <c r="J201" s="531">
        <f t="shared" si="70"/>
        <v>1.8048559238305091</v>
      </c>
      <c r="M201" s="528"/>
    </row>
    <row r="202" spans="1:16" ht="12.6" customHeight="1">
      <c r="A202" s="1064" t="s">
        <v>594</v>
      </c>
      <c r="B202" s="1065"/>
      <c r="C202" s="1065"/>
      <c r="D202" s="337">
        <v>56</v>
      </c>
      <c r="E202" s="139">
        <f t="shared" ref="E202" si="85">E221</f>
        <v>0</v>
      </c>
      <c r="F202" s="139">
        <f t="shared" ref="F202:H202" si="86">F221</f>
        <v>0</v>
      </c>
      <c r="G202" s="304">
        <f t="shared" si="86"/>
        <v>0</v>
      </c>
      <c r="H202" s="304">
        <f t="shared" si="86"/>
        <v>0</v>
      </c>
      <c r="I202" s="613"/>
      <c r="J202" s="531">
        <f t="shared" si="70"/>
        <v>0</v>
      </c>
    </row>
    <row r="203" spans="1:16" ht="14.45" customHeight="1">
      <c r="A203" s="1066" t="s">
        <v>463</v>
      </c>
      <c r="B203" s="1067"/>
      <c r="C203" s="1068"/>
      <c r="D203" s="337">
        <v>57</v>
      </c>
      <c r="E203" s="139">
        <f t="shared" ref="E203" si="87">E289+E298+E465</f>
        <v>7988000</v>
      </c>
      <c r="F203" s="139">
        <f t="shared" ref="F203:H203" si="88">F289+F298+F465</f>
        <v>7509000</v>
      </c>
      <c r="G203" s="304">
        <f t="shared" si="88"/>
        <v>1846210</v>
      </c>
      <c r="H203" s="304">
        <f t="shared" si="88"/>
        <v>1801576.01</v>
      </c>
      <c r="I203" s="613">
        <f t="shared" ref="I203:I209" si="89">H203/F203</f>
        <v>0.23992222799307497</v>
      </c>
      <c r="J203" s="531" t="e">
        <f t="shared" si="70"/>
        <v>#DIV/0!</v>
      </c>
    </row>
    <row r="204" spans="1:16" ht="14.45" customHeight="1">
      <c r="A204" s="1064" t="s">
        <v>594</v>
      </c>
      <c r="B204" s="1065"/>
      <c r="C204" s="1065"/>
      <c r="D204" s="337">
        <v>58</v>
      </c>
      <c r="E204" s="304">
        <f t="shared" ref="E204" si="90">E225+E555+E341+E464+E407</f>
        <v>165194000</v>
      </c>
      <c r="F204" s="304">
        <f t="shared" ref="F204:H204" si="91">F225+F555+F341+F464+F407</f>
        <v>84071000</v>
      </c>
      <c r="G204" s="304">
        <f t="shared" si="91"/>
        <v>26437155</v>
      </c>
      <c r="H204" s="304">
        <f t="shared" si="91"/>
        <v>16573434.82</v>
      </c>
      <c r="I204" s="613">
        <f t="shared" si="89"/>
        <v>0.19713616847664475</v>
      </c>
      <c r="J204" s="531">
        <f t="shared" si="70"/>
        <v>9.1994091439972046</v>
      </c>
      <c r="M204" s="100"/>
    </row>
    <row r="205" spans="1:16" ht="14.45" customHeight="1">
      <c r="A205" s="1066" t="s">
        <v>413</v>
      </c>
      <c r="B205" s="1067"/>
      <c r="C205" s="1068"/>
      <c r="D205" s="337">
        <v>59</v>
      </c>
      <c r="E205" s="139">
        <f t="shared" ref="E205" si="92">E220+E452+E332+E481+E340+E372+E317</f>
        <v>13012000</v>
      </c>
      <c r="F205" s="139">
        <f t="shared" ref="F205:H205" si="93">F220+F452+F332+F481+F340+F372+F317</f>
        <v>6062000</v>
      </c>
      <c r="G205" s="304">
        <f t="shared" si="93"/>
        <v>5874241</v>
      </c>
      <c r="H205" s="304">
        <f t="shared" si="93"/>
        <v>5777717.8399999999</v>
      </c>
      <c r="I205" s="613">
        <f t="shared" si="89"/>
        <v>0.95310422962718577</v>
      </c>
      <c r="J205" s="531">
        <f t="shared" si="70"/>
        <v>0.34861318144068337</v>
      </c>
      <c r="K205" s="100"/>
      <c r="L205" s="100"/>
      <c r="N205" s="100"/>
    </row>
    <row r="206" spans="1:16" ht="12.6" customHeight="1">
      <c r="A206" s="1064" t="s">
        <v>23</v>
      </c>
      <c r="B206" s="1065"/>
      <c r="C206" s="1065"/>
      <c r="D206" s="305">
        <v>70</v>
      </c>
      <c r="E206" s="304">
        <f t="shared" ref="E206" si="94">E229+E279+E305+E412+E467+E559+E274</f>
        <v>92608000</v>
      </c>
      <c r="F206" s="304">
        <f t="shared" ref="F206:H206" si="95">F229+F279+F305+F412+F467+F559+F274</f>
        <v>92608000</v>
      </c>
      <c r="G206" s="304">
        <f t="shared" si="95"/>
        <v>14503971</v>
      </c>
      <c r="H206" s="304">
        <f t="shared" si="95"/>
        <v>13213931.949999999</v>
      </c>
      <c r="I206" s="613">
        <f t="shared" si="89"/>
        <v>0.14268672198946095</v>
      </c>
      <c r="J206" s="531">
        <f t="shared" si="70"/>
        <v>2.2870504091629367</v>
      </c>
      <c r="K206" s="100"/>
      <c r="L206" s="100"/>
    </row>
    <row r="207" spans="1:16" ht="15" hidden="1" customHeight="1">
      <c r="A207" s="1069" t="s">
        <v>593</v>
      </c>
      <c r="B207" s="1070"/>
      <c r="C207" s="1070"/>
      <c r="D207" s="305">
        <v>79</v>
      </c>
      <c r="E207" s="139"/>
      <c r="F207" s="139"/>
      <c r="G207" s="304"/>
      <c r="H207" s="304"/>
      <c r="I207" s="613" t="e">
        <f t="shared" si="89"/>
        <v>#DIV/0!</v>
      </c>
      <c r="J207" s="531">
        <f t="shared" si="70"/>
        <v>0</v>
      </c>
    </row>
    <row r="208" spans="1:16" ht="13.15" customHeight="1">
      <c r="A208" s="1064" t="s">
        <v>592</v>
      </c>
      <c r="B208" s="1065"/>
      <c r="C208" s="1065"/>
      <c r="D208" s="305">
        <v>81</v>
      </c>
      <c r="E208" s="139">
        <f t="shared" ref="E208" si="96">E209+E210</f>
        <v>9396000</v>
      </c>
      <c r="F208" s="139">
        <f t="shared" ref="F208:H208" si="97">F209+F210</f>
        <v>4696000</v>
      </c>
      <c r="G208" s="304">
        <f t="shared" si="97"/>
        <v>4562076</v>
      </c>
      <c r="H208" s="304">
        <f t="shared" si="97"/>
        <v>4543045.33</v>
      </c>
      <c r="I208" s="613">
        <f t="shared" si="89"/>
        <v>0.96742873296422494</v>
      </c>
      <c r="J208" s="531" t="e">
        <f t="shared" si="70"/>
        <v>#DIV/0!</v>
      </c>
    </row>
    <row r="209" spans="1:108" ht="14.45" customHeight="1">
      <c r="A209" s="1055" t="s">
        <v>591</v>
      </c>
      <c r="B209" s="1056"/>
      <c r="C209" s="1057"/>
      <c r="D209" s="339">
        <v>81.02</v>
      </c>
      <c r="E209" s="139">
        <f t="shared" ref="E209" si="98">E234+E235</f>
        <v>9396000</v>
      </c>
      <c r="F209" s="139">
        <f t="shared" ref="F209:H209" si="99">F234+F235</f>
        <v>4696000</v>
      </c>
      <c r="G209" s="304">
        <f t="shared" si="99"/>
        <v>4562076</v>
      </c>
      <c r="H209" s="304">
        <f t="shared" si="99"/>
        <v>4543045.33</v>
      </c>
      <c r="I209" s="613">
        <f t="shared" si="89"/>
        <v>0.96742873296422494</v>
      </c>
      <c r="J209" s="531">
        <f t="shared" si="70"/>
        <v>1</v>
      </c>
    </row>
    <row r="210" spans="1:108" ht="15" customHeight="1">
      <c r="A210" s="1055" t="s">
        <v>590</v>
      </c>
      <c r="B210" s="1056"/>
      <c r="C210" s="1057"/>
      <c r="D210" s="305" t="s">
        <v>18</v>
      </c>
      <c r="E210" s="139">
        <f t="shared" ref="E210" si="100">E236+E565</f>
        <v>0</v>
      </c>
      <c r="F210" s="139">
        <f t="shared" ref="F210:H210" si="101">F236+F565</f>
        <v>0</v>
      </c>
      <c r="G210" s="304">
        <f t="shared" si="101"/>
        <v>0</v>
      </c>
      <c r="H210" s="304">
        <f t="shared" si="101"/>
        <v>0</v>
      </c>
      <c r="I210" s="613"/>
      <c r="J210" s="531">
        <f t="shared" si="70"/>
        <v>0</v>
      </c>
      <c r="M210" s="3"/>
    </row>
    <row r="211" spans="1:108" s="338" customFormat="1" ht="39.75" customHeight="1">
      <c r="A211" s="1058" t="s">
        <v>390</v>
      </c>
      <c r="B211" s="1059"/>
      <c r="C211" s="1060"/>
      <c r="D211" s="305" t="s">
        <v>389</v>
      </c>
      <c r="E211" s="139">
        <f t="shared" ref="E211" si="102">E240+E309+E468</f>
        <v>0</v>
      </c>
      <c r="F211" s="139">
        <f t="shared" ref="F211:G211" si="103">F240+F309+F468</f>
        <v>0</v>
      </c>
      <c r="G211" s="304">
        <f t="shared" si="103"/>
        <v>0</v>
      </c>
      <c r="H211" s="304">
        <f>H240+H290+H309+H414+H468+H566</f>
        <v>-690386.82</v>
      </c>
      <c r="I211" s="613"/>
      <c r="J211" s="531" t="e">
        <f t="shared" si="70"/>
        <v>#DIV/0!</v>
      </c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8"/>
      <c r="AE211" s="298"/>
    </row>
    <row r="212" spans="1:108" s="338" customFormat="1" ht="43.5" customHeight="1">
      <c r="A212" s="1058" t="s">
        <v>14</v>
      </c>
      <c r="B212" s="1059"/>
      <c r="C212" s="1060"/>
      <c r="D212" s="305" t="s">
        <v>13</v>
      </c>
      <c r="E212" s="139">
        <f t="shared" ref="E212" si="104">E351+E567</f>
        <v>0</v>
      </c>
      <c r="F212" s="139">
        <f t="shared" ref="F212:G212" si="105">F351+F567</f>
        <v>0</v>
      </c>
      <c r="G212" s="304">
        <f t="shared" si="105"/>
        <v>0</v>
      </c>
      <c r="H212" s="304">
        <f>H241+H310+H387+H567+H504</f>
        <v>-841967.6</v>
      </c>
      <c r="I212" s="613"/>
      <c r="J212" s="531">
        <f t="shared" si="70"/>
        <v>1.2195592030566285</v>
      </c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</row>
    <row r="213" spans="1:108" ht="15" customHeight="1">
      <c r="A213" s="1061" t="s">
        <v>589</v>
      </c>
      <c r="B213" s="1062"/>
      <c r="C213" s="1063"/>
      <c r="D213" s="337">
        <v>90</v>
      </c>
      <c r="E213" s="139"/>
      <c r="F213" s="139"/>
      <c r="G213" s="304"/>
      <c r="H213" s="304"/>
      <c r="I213" s="613"/>
      <c r="J213" s="531">
        <f t="shared" si="70"/>
        <v>0</v>
      </c>
    </row>
    <row r="214" spans="1:108" s="237" customFormat="1" ht="17.25" customHeight="1">
      <c r="A214" s="1011" t="s">
        <v>106</v>
      </c>
      <c r="B214" s="1012"/>
      <c r="C214" s="1013"/>
      <c r="D214" s="336" t="s">
        <v>71</v>
      </c>
      <c r="E214" s="335">
        <f t="shared" ref="E214" si="106">E216+E217+E218+E220+E221+E229+E233+E225</f>
        <v>110747000</v>
      </c>
      <c r="F214" s="335">
        <f t="shared" ref="F214:G214" si="107">F216+F217+F218+F220+F221+F229+F233+F225</f>
        <v>82965000</v>
      </c>
      <c r="G214" s="335">
        <f t="shared" si="107"/>
        <v>30142974</v>
      </c>
      <c r="H214" s="335">
        <f>H216+H217+H218+H220+H221+H229+H233+H225+H240+H241</f>
        <v>24469723.800000001</v>
      </c>
      <c r="I214" s="613">
        <f>H214/F214</f>
        <v>0.29494032182245528</v>
      </c>
      <c r="J214" s="531" t="e">
        <f t="shared" si="70"/>
        <v>#DIV/0!</v>
      </c>
      <c r="K214" s="238"/>
      <c r="L214" s="238"/>
      <c r="M214" s="491"/>
      <c r="N214" s="491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</row>
    <row r="215" spans="1:108" ht="13.15" hidden="1" customHeight="1">
      <c r="A215" s="975" t="s">
        <v>588</v>
      </c>
      <c r="B215" s="976"/>
      <c r="C215" s="976"/>
      <c r="D215" s="138" t="s">
        <v>535</v>
      </c>
      <c r="E215" s="135"/>
      <c r="F215" s="135"/>
      <c r="G215" s="233"/>
      <c r="H215" s="233"/>
      <c r="I215" s="613" t="e">
        <f>H215/F215</f>
        <v>#DIV/0!</v>
      </c>
      <c r="J215" s="531">
        <f t="shared" si="70"/>
        <v>0</v>
      </c>
    </row>
    <row r="216" spans="1:108" ht="14.45" customHeight="1">
      <c r="A216" s="960" t="s">
        <v>58</v>
      </c>
      <c r="B216" s="961"/>
      <c r="C216" s="962"/>
      <c r="D216" s="414">
        <v>10</v>
      </c>
      <c r="E216" s="362">
        <v>21876000</v>
      </c>
      <c r="F216" s="362">
        <f>6515000+5513000</f>
        <v>12028000</v>
      </c>
      <c r="G216" s="441">
        <v>12028000</v>
      </c>
      <c r="H216" s="441">
        <v>10150537.09</v>
      </c>
      <c r="I216" s="613">
        <f>H216/F216</f>
        <v>0.84390896990355835</v>
      </c>
      <c r="J216" s="531" t="e">
        <f t="shared" si="70"/>
        <v>#DIV/0!</v>
      </c>
      <c r="N216" s="100"/>
    </row>
    <row r="217" spans="1:108" ht="13.15" customHeight="1">
      <c r="A217" s="960" t="s">
        <v>57</v>
      </c>
      <c r="B217" s="961"/>
      <c r="C217" s="962"/>
      <c r="D217" s="421">
        <v>20</v>
      </c>
      <c r="E217" s="362">
        <v>8291000</v>
      </c>
      <c r="F217" s="362">
        <f>1956000+3505000</f>
        <v>5461000</v>
      </c>
      <c r="G217" s="441">
        <v>2742466</v>
      </c>
      <c r="H217" s="441">
        <v>2131258.06</v>
      </c>
      <c r="I217" s="613">
        <f>H217/F217</f>
        <v>0.39026882622230363</v>
      </c>
      <c r="J217" s="531">
        <f t="shared" si="70"/>
        <v>0.20996505318912145</v>
      </c>
      <c r="M217" s="100"/>
    </row>
    <row r="218" spans="1:108" ht="14.45" hidden="1" customHeight="1">
      <c r="A218" s="960" t="s">
        <v>438</v>
      </c>
      <c r="B218" s="961"/>
      <c r="C218" s="962"/>
      <c r="D218" s="414" t="s">
        <v>49</v>
      </c>
      <c r="E218" s="362"/>
      <c r="F218" s="362"/>
      <c r="G218" s="441"/>
      <c r="H218" s="441"/>
      <c r="I218" s="613"/>
      <c r="J218" s="531">
        <f t="shared" si="70"/>
        <v>0</v>
      </c>
      <c r="M218" s="100"/>
      <c r="N218" s="100"/>
    </row>
    <row r="219" spans="1:108" ht="15" hidden="1" customHeight="1">
      <c r="A219" s="1052" t="s">
        <v>587</v>
      </c>
      <c r="B219" s="1053"/>
      <c r="C219" s="1054"/>
      <c r="D219" s="415" t="s">
        <v>104</v>
      </c>
      <c r="E219" s="362"/>
      <c r="F219" s="362"/>
      <c r="G219" s="441"/>
      <c r="H219" s="441"/>
      <c r="I219" s="613"/>
      <c r="J219" s="531" t="e">
        <f t="shared" si="70"/>
        <v>#DIV/0!</v>
      </c>
    </row>
    <row r="220" spans="1:108" ht="15" customHeight="1">
      <c r="A220" s="826" t="s">
        <v>413</v>
      </c>
      <c r="B220" s="827"/>
      <c r="C220" s="828"/>
      <c r="D220" s="416">
        <v>59</v>
      </c>
      <c r="E220" s="362">
        <f>172000+72000+72000+72000</f>
        <v>388000</v>
      </c>
      <c r="F220" s="362">
        <f>77000+105000</f>
        <v>182000</v>
      </c>
      <c r="G220" s="441">
        <v>144000</v>
      </c>
      <c r="H220" s="441">
        <v>86984.84</v>
      </c>
      <c r="I220" s="613">
        <f>H220/F220</f>
        <v>0.47793868131868128</v>
      </c>
      <c r="J220" s="531" t="e">
        <f t="shared" si="70"/>
        <v>#DIV/0!</v>
      </c>
    </row>
    <row r="221" spans="1:108" ht="15" customHeight="1">
      <c r="A221" s="979" t="s">
        <v>47</v>
      </c>
      <c r="B221" s="980"/>
      <c r="C221" s="980"/>
      <c r="D221" s="417">
        <v>56</v>
      </c>
      <c r="E221" s="418"/>
      <c r="F221" s="418"/>
      <c r="G221" s="442"/>
      <c r="H221" s="442"/>
      <c r="I221" s="613"/>
      <c r="J221" s="531">
        <f t="shared" si="70"/>
        <v>0</v>
      </c>
    </row>
    <row r="222" spans="1:108" ht="15" customHeight="1">
      <c r="A222" s="333"/>
      <c r="B222" s="252" t="s">
        <v>17</v>
      </c>
      <c r="C222" s="222"/>
      <c r="D222" s="419"/>
      <c r="E222" s="362"/>
      <c r="F222" s="362"/>
      <c r="G222" s="441"/>
      <c r="H222" s="441"/>
      <c r="I222" s="613"/>
      <c r="J222" s="531" t="e">
        <f t="shared" si="70"/>
        <v>#DIV/0!</v>
      </c>
    </row>
    <row r="223" spans="1:108" s="2" customFormat="1" ht="15" customHeight="1">
      <c r="A223" s="333"/>
      <c r="B223" s="222" t="s">
        <v>16</v>
      </c>
      <c r="C223" s="222"/>
      <c r="D223" s="419"/>
      <c r="E223" s="410"/>
      <c r="F223" s="410"/>
      <c r="G223" s="443"/>
      <c r="H223" s="443"/>
      <c r="I223" s="613"/>
      <c r="J223" s="531" t="e">
        <f t="shared" si="70"/>
        <v>#DIV/0!</v>
      </c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</row>
    <row r="224" spans="1:108" s="2" customFormat="1" ht="15" customHeight="1">
      <c r="A224" s="333"/>
      <c r="B224" s="251" t="s">
        <v>42</v>
      </c>
      <c r="C224" s="222"/>
      <c r="D224" s="419"/>
      <c r="E224" s="410"/>
      <c r="F224" s="410"/>
      <c r="G224" s="443"/>
      <c r="H224" s="443"/>
      <c r="I224" s="613"/>
      <c r="J224" s="531" t="e">
        <f t="shared" si="70"/>
        <v>#DIV/0!</v>
      </c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</row>
    <row r="225" spans="1:108" s="2" customFormat="1" ht="15" customHeight="1">
      <c r="A225" s="979" t="s">
        <v>56</v>
      </c>
      <c r="B225" s="980"/>
      <c r="C225" s="980"/>
      <c r="D225" s="427">
        <v>58</v>
      </c>
      <c r="E225" s="399">
        <f t="shared" ref="E225" si="108">E226+E227+E228</f>
        <v>32976000</v>
      </c>
      <c r="F225" s="399">
        <f t="shared" ref="F225:G225" si="109">F226+F227+F228</f>
        <v>22778000</v>
      </c>
      <c r="G225" s="439">
        <f t="shared" si="109"/>
        <v>5546000</v>
      </c>
      <c r="H225" s="439">
        <f>H226+H227+H228</f>
        <v>3582766.53</v>
      </c>
      <c r="I225" s="613">
        <f>H225/F225</f>
        <v>0.1572906545789797</v>
      </c>
      <c r="J225" s="531" t="e">
        <f t="shared" si="70"/>
        <v>#DIV/0!</v>
      </c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</row>
    <row r="226" spans="1:108" s="2" customFormat="1" ht="15" customHeight="1">
      <c r="A226" s="333"/>
      <c r="B226" s="252" t="s">
        <v>17</v>
      </c>
      <c r="C226" s="222"/>
      <c r="D226" s="420"/>
      <c r="E226" s="362"/>
      <c r="F226" s="362"/>
      <c r="G226" s="441"/>
      <c r="H226" s="441"/>
      <c r="I226" s="613"/>
      <c r="J226" s="531">
        <f t="shared" si="70"/>
        <v>0</v>
      </c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</row>
    <row r="227" spans="1:108" s="2" customFormat="1" ht="15" customHeight="1">
      <c r="A227" s="333"/>
      <c r="B227" s="222" t="s">
        <v>16</v>
      </c>
      <c r="C227" s="222"/>
      <c r="D227" s="420"/>
      <c r="E227" s="66">
        <v>3468000</v>
      </c>
      <c r="F227" s="66">
        <f>415000+1477000</f>
        <v>1892000</v>
      </c>
      <c r="G227" s="444">
        <v>1029300</v>
      </c>
      <c r="H227" s="444">
        <v>457082.88</v>
      </c>
      <c r="I227" s="613">
        <f>H227/F227</f>
        <v>0.24158714587737845</v>
      </c>
      <c r="J227" s="531" t="e">
        <f t="shared" si="70"/>
        <v>#DIV/0!</v>
      </c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</row>
    <row r="228" spans="1:108" s="2" customFormat="1" ht="15" customHeight="1">
      <c r="A228" s="333"/>
      <c r="B228" s="251" t="s">
        <v>42</v>
      </c>
      <c r="C228" s="222"/>
      <c r="D228" s="392"/>
      <c r="E228" s="137">
        <v>29508000</v>
      </c>
      <c r="F228" s="137">
        <f>2832000+18054000</f>
        <v>20886000</v>
      </c>
      <c r="G228" s="441">
        <v>4516700</v>
      </c>
      <c r="H228" s="439">
        <v>3125683.65</v>
      </c>
      <c r="I228" s="613">
        <f>H228/F228</f>
        <v>0.14965448865268602</v>
      </c>
      <c r="J228" s="531">
        <f t="shared" si="70"/>
        <v>6.8383301732937358</v>
      </c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</row>
    <row r="229" spans="1:108" s="2" customFormat="1" ht="15" customHeight="1">
      <c r="A229" s="983" t="s">
        <v>23</v>
      </c>
      <c r="B229" s="971"/>
      <c r="C229" s="971"/>
      <c r="D229" s="426">
        <v>70</v>
      </c>
      <c r="E229" s="334">
        <f t="shared" ref="E229" si="110">E230+E231+E232</f>
        <v>37820000</v>
      </c>
      <c r="F229" s="334">
        <f t="shared" ref="F229:H229" si="111">F230+F231+F232</f>
        <v>37820000</v>
      </c>
      <c r="G229" s="334">
        <f t="shared" si="111"/>
        <v>5120432</v>
      </c>
      <c r="H229" s="334">
        <f t="shared" si="111"/>
        <v>4837588.58</v>
      </c>
      <c r="I229" s="613">
        <f>H229/F229</f>
        <v>0.1279108561607615</v>
      </c>
      <c r="J229" s="531">
        <f t="shared" si="70"/>
        <v>1.5476897606064517</v>
      </c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</row>
    <row r="230" spans="1:108" s="2" customFormat="1" ht="15" customHeight="1">
      <c r="A230" s="153"/>
      <c r="B230" s="252" t="s">
        <v>17</v>
      </c>
      <c r="C230" s="144"/>
      <c r="D230" s="392"/>
      <c r="E230" s="229"/>
      <c r="F230" s="229"/>
      <c r="G230" s="229"/>
      <c r="H230" s="229"/>
      <c r="I230" s="613"/>
      <c r="J230" s="531">
        <f t="shared" si="70"/>
        <v>0</v>
      </c>
      <c r="M230" s="100"/>
      <c r="N230" s="100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</row>
    <row r="231" spans="1:108" s="2" customFormat="1" ht="15" customHeight="1">
      <c r="A231" s="153"/>
      <c r="B231" s="252" t="s">
        <v>16</v>
      </c>
      <c r="C231" s="144"/>
      <c r="D231" s="147"/>
      <c r="E231" s="94">
        <f>13827000+102000</f>
        <v>13929000</v>
      </c>
      <c r="F231" s="94">
        <f>2788000+11039000+102000</f>
        <v>13929000</v>
      </c>
      <c r="G231" s="94">
        <v>5120432</v>
      </c>
      <c r="H231" s="94">
        <v>4837588.58</v>
      </c>
      <c r="I231" s="613">
        <f>H231/F231</f>
        <v>0.34730336564003161</v>
      </c>
      <c r="J231" s="531" t="e">
        <f t="shared" si="70"/>
        <v>#DIV/0!</v>
      </c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</row>
    <row r="232" spans="1:108" s="2" customFormat="1" ht="15" customHeight="1">
      <c r="A232" s="382"/>
      <c r="B232" s="383" t="s">
        <v>586</v>
      </c>
      <c r="C232" s="384"/>
      <c r="D232" s="385"/>
      <c r="E232" s="431">
        <v>23891000</v>
      </c>
      <c r="F232" s="431">
        <v>23891000</v>
      </c>
      <c r="G232" s="502"/>
      <c r="H232" s="502"/>
      <c r="I232" s="613">
        <f>H232/F232</f>
        <v>0</v>
      </c>
      <c r="J232" s="531">
        <f t="shared" si="70"/>
        <v>0</v>
      </c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</row>
    <row r="233" spans="1:108" s="2" customFormat="1" ht="15" customHeight="1">
      <c r="A233" s="960" t="s">
        <v>19</v>
      </c>
      <c r="B233" s="961"/>
      <c r="C233" s="962"/>
      <c r="D233" s="254">
        <v>81</v>
      </c>
      <c r="E233" s="201">
        <f t="shared" ref="E233" si="112">E234+E235+E236</f>
        <v>9396000</v>
      </c>
      <c r="F233" s="201">
        <f t="shared" ref="F233:H233" si="113">F234+F235+F236</f>
        <v>4696000</v>
      </c>
      <c r="G233" s="437">
        <f t="shared" si="113"/>
        <v>4562076</v>
      </c>
      <c r="H233" s="437">
        <f t="shared" si="113"/>
        <v>4543045.33</v>
      </c>
      <c r="I233" s="613">
        <f>H233/F233</f>
        <v>0.96742873296422494</v>
      </c>
      <c r="J233" s="531" t="e">
        <f t="shared" si="70"/>
        <v>#DIV/0!</v>
      </c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</row>
    <row r="234" spans="1:108" s="2" customFormat="1" ht="15.6" customHeight="1">
      <c r="A234" s="263"/>
      <c r="B234" s="1051" t="s">
        <v>460</v>
      </c>
      <c r="C234" s="828"/>
      <c r="D234" s="180" t="s">
        <v>459</v>
      </c>
      <c r="E234" s="137">
        <v>199000</v>
      </c>
      <c r="F234" s="137">
        <f>49000+49000</f>
        <v>98000</v>
      </c>
      <c r="G234" s="229">
        <v>32700</v>
      </c>
      <c r="H234" s="229">
        <v>20024.93</v>
      </c>
      <c r="I234" s="613">
        <f>H234/F234</f>
        <v>0.20433602040816326</v>
      </c>
      <c r="J234" s="531">
        <f t="shared" si="70"/>
        <v>4.4078208658331836E-3</v>
      </c>
      <c r="M234" s="100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</row>
    <row r="235" spans="1:108" s="2" customFormat="1" ht="13.9" customHeight="1">
      <c r="A235" s="253"/>
      <c r="B235" s="971" t="s">
        <v>585</v>
      </c>
      <c r="C235" s="972"/>
      <c r="D235" s="180" t="s">
        <v>457</v>
      </c>
      <c r="E235" s="137">
        <v>9197000</v>
      </c>
      <c r="F235" s="137">
        <f>2299000+2299000</f>
        <v>4598000</v>
      </c>
      <c r="G235" s="229">
        <v>4529376</v>
      </c>
      <c r="H235" s="229">
        <v>4523020.4000000004</v>
      </c>
      <c r="I235" s="613">
        <f>H235/F235</f>
        <v>0.98369299695519796</v>
      </c>
      <c r="J235" s="531">
        <f t="shared" si="70"/>
        <v>225.86947370103167</v>
      </c>
      <c r="M235" s="100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</row>
    <row r="236" spans="1:108" s="2" customFormat="1" ht="15" customHeight="1">
      <c r="A236" s="253"/>
      <c r="B236" s="971" t="s">
        <v>102</v>
      </c>
      <c r="C236" s="972"/>
      <c r="D236" s="254">
        <v>81.040000000000006</v>
      </c>
      <c r="E236" s="201">
        <f t="shared" ref="E236" si="114">E237+E238</f>
        <v>0</v>
      </c>
      <c r="F236" s="201">
        <f t="shared" ref="F236:H236" si="115">F237+F238</f>
        <v>0</v>
      </c>
      <c r="G236" s="437">
        <f t="shared" si="115"/>
        <v>0</v>
      </c>
      <c r="H236" s="437">
        <f t="shared" si="115"/>
        <v>0</v>
      </c>
      <c r="I236" s="613"/>
      <c r="J236" s="531">
        <f t="shared" si="70"/>
        <v>0</v>
      </c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</row>
    <row r="237" spans="1:108" s="2" customFormat="1" ht="15" customHeight="1">
      <c r="A237" s="333"/>
      <c r="B237" s="222" t="s">
        <v>16</v>
      </c>
      <c r="C237" s="222"/>
      <c r="D237" s="180"/>
      <c r="E237" s="15"/>
      <c r="F237" s="15"/>
      <c r="G237" s="94"/>
      <c r="H237" s="94"/>
      <c r="I237" s="613"/>
      <c r="J237" s="531" t="e">
        <f t="shared" si="70"/>
        <v>#DIV/0!</v>
      </c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</row>
    <row r="238" spans="1:108" s="2" customFormat="1" ht="14.45" customHeight="1">
      <c r="A238" s="333"/>
      <c r="B238" s="251" t="s">
        <v>42</v>
      </c>
      <c r="C238" s="222"/>
      <c r="D238" s="180"/>
      <c r="E238" s="137"/>
      <c r="F238" s="137"/>
      <c r="G238" s="229"/>
      <c r="H238" s="229"/>
      <c r="I238" s="613"/>
      <c r="J238" s="531" t="e">
        <f t="shared" si="70"/>
        <v>#DIV/0!</v>
      </c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</row>
    <row r="239" spans="1:108" ht="14.25" hidden="1" customHeight="1">
      <c r="A239" s="1009"/>
      <c r="B239" s="1010"/>
      <c r="C239" s="1010"/>
      <c r="D239" s="264"/>
      <c r="E239" s="193"/>
      <c r="F239" s="193"/>
      <c r="G239" s="445"/>
      <c r="H239" s="445"/>
      <c r="I239" s="613"/>
      <c r="J239" s="531" t="e">
        <f t="shared" si="70"/>
        <v>#DIV/0!</v>
      </c>
      <c r="K239" s="331"/>
      <c r="L239" s="331"/>
      <c r="M239" s="331"/>
      <c r="N239" s="331"/>
      <c r="O239" s="330"/>
      <c r="P239" s="332"/>
      <c r="Q239" s="331"/>
      <c r="R239" s="331"/>
      <c r="S239" s="330"/>
      <c r="T239" s="332"/>
      <c r="U239" s="331"/>
      <c r="V239" s="331"/>
      <c r="W239" s="330"/>
      <c r="X239" s="332"/>
      <c r="Y239" s="331"/>
      <c r="Z239" s="331"/>
      <c r="AA239" s="330"/>
      <c r="AB239" s="332"/>
      <c r="AC239" s="331"/>
      <c r="AD239" s="331"/>
      <c r="AE239" s="330"/>
      <c r="AF239" s="327"/>
      <c r="AG239" s="329"/>
      <c r="AH239" s="329"/>
      <c r="AI239" s="328"/>
      <c r="AJ239" s="327"/>
      <c r="AK239" s="329"/>
      <c r="AL239" s="329"/>
      <c r="AM239" s="328"/>
      <c r="AN239" s="327"/>
      <c r="AO239" s="329"/>
      <c r="AP239" s="329"/>
      <c r="AQ239" s="328"/>
      <c r="AR239" s="327"/>
      <c r="AS239" s="329"/>
      <c r="AT239" s="329"/>
      <c r="AU239" s="328"/>
      <c r="AV239" s="327"/>
      <c r="AW239" s="329"/>
      <c r="AX239" s="329"/>
      <c r="AY239" s="328"/>
      <c r="AZ239" s="327"/>
      <c r="BA239" s="329"/>
      <c r="BB239" s="329"/>
      <c r="BC239" s="328"/>
      <c r="BD239" s="327"/>
      <c r="BE239" s="329"/>
      <c r="BF239" s="329"/>
      <c r="BG239" s="328"/>
      <c r="BH239" s="327"/>
      <c r="BI239" s="329"/>
      <c r="BJ239" s="329"/>
      <c r="BK239" s="328"/>
      <c r="BL239" s="327"/>
      <c r="BM239" s="329"/>
      <c r="BN239" s="329"/>
      <c r="BO239" s="328"/>
      <c r="BP239" s="327"/>
      <c r="BQ239" s="329"/>
      <c r="BR239" s="329"/>
      <c r="BS239" s="328"/>
      <c r="BT239" s="327"/>
      <c r="BU239" s="329"/>
      <c r="BV239" s="329"/>
      <c r="BW239" s="328"/>
      <c r="BX239" s="327"/>
      <c r="BY239" s="329"/>
      <c r="BZ239" s="329"/>
      <c r="CA239" s="328"/>
      <c r="CB239" s="327"/>
      <c r="CC239" s="329"/>
      <c r="CD239" s="329"/>
      <c r="CE239" s="328"/>
      <c r="CF239" s="327"/>
      <c r="CG239" s="329"/>
      <c r="CH239" s="329"/>
      <c r="CI239" s="328"/>
      <c r="CJ239" s="327"/>
      <c r="CK239" s="329"/>
      <c r="CL239" s="329"/>
      <c r="CM239" s="328"/>
      <c r="CN239" s="327"/>
      <c r="CO239" s="329"/>
      <c r="CP239" s="329"/>
      <c r="CQ239" s="328"/>
      <c r="CR239" s="327"/>
      <c r="CS239" s="329"/>
      <c r="CT239" s="329"/>
      <c r="CU239" s="328"/>
      <c r="CV239" s="327"/>
      <c r="CW239" s="329"/>
      <c r="CX239" s="329"/>
      <c r="CY239" s="328"/>
      <c r="CZ239" s="327"/>
      <c r="DA239" s="329"/>
      <c r="DB239" s="329"/>
      <c r="DC239" s="328"/>
      <c r="DD239" s="327"/>
    </row>
    <row r="240" spans="1:108" ht="39.75" customHeight="1">
      <c r="A240" s="811" t="s">
        <v>390</v>
      </c>
      <c r="B240" s="812"/>
      <c r="C240" s="813"/>
      <c r="D240" s="264" t="s">
        <v>389</v>
      </c>
      <c r="E240" s="193"/>
      <c r="F240" s="193"/>
      <c r="G240" s="445"/>
      <c r="H240" s="496">
        <v>-74198</v>
      </c>
      <c r="I240" s="613"/>
      <c r="J240" s="531" t="e">
        <f t="shared" si="70"/>
        <v>#DIV/0!</v>
      </c>
      <c r="K240" s="331"/>
      <c r="L240" s="331"/>
      <c r="M240" s="331"/>
      <c r="N240" s="331"/>
      <c r="O240" s="330"/>
      <c r="P240" s="332"/>
      <c r="Q240" s="331"/>
      <c r="R240" s="331"/>
      <c r="S240" s="330"/>
      <c r="T240" s="332"/>
      <c r="U240" s="331"/>
      <c r="V240" s="331"/>
      <c r="W240" s="330"/>
      <c r="X240" s="332"/>
      <c r="Y240" s="331"/>
      <c r="Z240" s="331"/>
      <c r="AA240" s="330"/>
      <c r="AB240" s="332"/>
      <c r="AC240" s="331"/>
      <c r="AD240" s="331"/>
      <c r="AE240" s="330"/>
      <c r="AF240" s="327"/>
      <c r="AG240" s="329"/>
      <c r="AH240" s="329"/>
      <c r="AI240" s="328"/>
      <c r="AJ240" s="327"/>
      <c r="AK240" s="329"/>
      <c r="AL240" s="329"/>
      <c r="AM240" s="328"/>
      <c r="AN240" s="327"/>
      <c r="AO240" s="329"/>
      <c r="AP240" s="329"/>
      <c r="AQ240" s="328"/>
      <c r="AR240" s="327"/>
      <c r="AS240" s="329"/>
      <c r="AT240" s="329"/>
      <c r="AU240" s="328"/>
      <c r="AV240" s="327"/>
      <c r="AW240" s="329"/>
      <c r="AX240" s="329"/>
      <c r="AY240" s="328"/>
      <c r="AZ240" s="327"/>
      <c r="BA240" s="329"/>
      <c r="BB240" s="329"/>
      <c r="BC240" s="328"/>
      <c r="BD240" s="327"/>
      <c r="BE240" s="329"/>
      <c r="BF240" s="329"/>
      <c r="BG240" s="328"/>
      <c r="BH240" s="327"/>
      <c r="BI240" s="329"/>
      <c r="BJ240" s="329"/>
      <c r="BK240" s="328"/>
      <c r="BL240" s="327"/>
      <c r="BM240" s="329"/>
      <c r="BN240" s="329"/>
      <c r="BO240" s="328"/>
      <c r="BP240" s="327"/>
      <c r="BQ240" s="329"/>
      <c r="BR240" s="329"/>
      <c r="BS240" s="328"/>
      <c r="BT240" s="327"/>
      <c r="BU240" s="329"/>
      <c r="BV240" s="329"/>
      <c r="BW240" s="328"/>
      <c r="BX240" s="327"/>
      <c r="BY240" s="329"/>
      <c r="BZ240" s="329"/>
      <c r="CA240" s="328"/>
      <c r="CB240" s="327"/>
      <c r="CC240" s="329"/>
      <c r="CD240" s="329"/>
      <c r="CE240" s="328"/>
      <c r="CF240" s="327"/>
      <c r="CG240" s="329"/>
      <c r="CH240" s="329"/>
      <c r="CI240" s="328"/>
      <c r="CJ240" s="327"/>
      <c r="CK240" s="329"/>
      <c r="CL240" s="329"/>
      <c r="CM240" s="328"/>
      <c r="CN240" s="327"/>
      <c r="CO240" s="329"/>
      <c r="CP240" s="329"/>
      <c r="CQ240" s="328"/>
      <c r="CR240" s="327"/>
      <c r="CS240" s="329"/>
      <c r="CT240" s="329"/>
      <c r="CU240" s="328"/>
      <c r="CV240" s="327"/>
      <c r="CW240" s="329"/>
      <c r="CX240" s="329"/>
      <c r="CY240" s="328"/>
      <c r="CZ240" s="327"/>
      <c r="DA240" s="329"/>
      <c r="DB240" s="329"/>
      <c r="DC240" s="328"/>
      <c r="DD240" s="327"/>
    </row>
    <row r="241" spans="1:108" ht="38.25" customHeight="1">
      <c r="A241" s="811" t="s">
        <v>14</v>
      </c>
      <c r="B241" s="812"/>
      <c r="C241" s="813"/>
      <c r="D241" s="264" t="s">
        <v>13</v>
      </c>
      <c r="E241" s="193"/>
      <c r="F241" s="193"/>
      <c r="G241" s="445"/>
      <c r="H241" s="496">
        <v>-788258.63</v>
      </c>
      <c r="I241" s="613"/>
      <c r="J241" s="531">
        <f t="shared" si="70"/>
        <v>10.623718024744603</v>
      </c>
      <c r="K241" s="331"/>
      <c r="L241" s="331"/>
      <c r="M241" s="331"/>
      <c r="N241" s="331"/>
      <c r="O241" s="330"/>
      <c r="P241" s="332"/>
      <c r="Q241" s="331"/>
      <c r="R241" s="331"/>
      <c r="S241" s="330"/>
      <c r="T241" s="332"/>
      <c r="U241" s="331"/>
      <c r="V241" s="331"/>
      <c r="W241" s="330"/>
      <c r="X241" s="332"/>
      <c r="Y241" s="331"/>
      <c r="Z241" s="331"/>
      <c r="AA241" s="330"/>
      <c r="AB241" s="332"/>
      <c r="AC241" s="331"/>
      <c r="AD241" s="331"/>
      <c r="AE241" s="330"/>
      <c r="AF241" s="327"/>
      <c r="AG241" s="329"/>
      <c r="AH241" s="329"/>
      <c r="AI241" s="328"/>
      <c r="AJ241" s="327"/>
      <c r="AK241" s="329"/>
      <c r="AL241" s="329"/>
      <c r="AM241" s="328"/>
      <c r="AN241" s="327"/>
      <c r="AO241" s="329"/>
      <c r="AP241" s="329"/>
      <c r="AQ241" s="328"/>
      <c r="AR241" s="327"/>
      <c r="AS241" s="329"/>
      <c r="AT241" s="329"/>
      <c r="AU241" s="328"/>
      <c r="AV241" s="327"/>
      <c r="AW241" s="329"/>
      <c r="AX241" s="329"/>
      <c r="AY241" s="328"/>
      <c r="AZ241" s="327"/>
      <c r="BA241" s="329"/>
      <c r="BB241" s="329"/>
      <c r="BC241" s="328"/>
      <c r="BD241" s="327"/>
      <c r="BE241" s="329"/>
      <c r="BF241" s="329"/>
      <c r="BG241" s="328"/>
      <c r="BH241" s="327"/>
      <c r="BI241" s="329"/>
      <c r="BJ241" s="329"/>
      <c r="BK241" s="328"/>
      <c r="BL241" s="327"/>
      <c r="BM241" s="329"/>
      <c r="BN241" s="329"/>
      <c r="BO241" s="328"/>
      <c r="BP241" s="327"/>
      <c r="BQ241" s="329"/>
      <c r="BR241" s="329"/>
      <c r="BS241" s="328"/>
      <c r="BT241" s="327"/>
      <c r="BU241" s="329"/>
      <c r="BV241" s="329"/>
      <c r="BW241" s="328"/>
      <c r="BX241" s="327"/>
      <c r="BY241" s="329"/>
      <c r="BZ241" s="329"/>
      <c r="CA241" s="328"/>
      <c r="CB241" s="327"/>
      <c r="CC241" s="329"/>
      <c r="CD241" s="329"/>
      <c r="CE241" s="328"/>
      <c r="CF241" s="327"/>
      <c r="CG241" s="329"/>
      <c r="CH241" s="329"/>
      <c r="CI241" s="328"/>
      <c r="CJ241" s="327"/>
      <c r="CK241" s="329"/>
      <c r="CL241" s="329"/>
      <c r="CM241" s="328"/>
      <c r="CN241" s="327"/>
      <c r="CO241" s="329"/>
      <c r="CP241" s="329"/>
      <c r="CQ241" s="328"/>
      <c r="CR241" s="327"/>
      <c r="CS241" s="329"/>
      <c r="CT241" s="329"/>
      <c r="CU241" s="328"/>
      <c r="CV241" s="327"/>
      <c r="CW241" s="329"/>
      <c r="CX241" s="329"/>
      <c r="CY241" s="328"/>
      <c r="CZ241" s="327"/>
      <c r="DA241" s="329"/>
      <c r="DB241" s="329"/>
      <c r="DC241" s="328"/>
      <c r="DD241" s="327"/>
    </row>
    <row r="242" spans="1:108" s="237" customFormat="1" ht="17.25" customHeight="1">
      <c r="A242" s="1022" t="s">
        <v>101</v>
      </c>
      <c r="B242" s="1023"/>
      <c r="C242" s="1024"/>
      <c r="D242" s="270" t="s">
        <v>100</v>
      </c>
      <c r="E242" s="158">
        <f t="shared" ref="E242" si="116">E254+E257+E263</f>
        <v>3942000</v>
      </c>
      <c r="F242" s="158">
        <f t="shared" ref="F242:H242" si="117">F254+F257+F263</f>
        <v>1506000</v>
      </c>
      <c r="G242" s="446">
        <f t="shared" si="117"/>
        <v>1230846</v>
      </c>
      <c r="H242" s="446">
        <f t="shared" si="117"/>
        <v>1230844.43</v>
      </c>
      <c r="I242" s="613">
        <f>H242/F242</f>
        <v>0.81729377822045146</v>
      </c>
      <c r="J242" s="531">
        <f t="shared" si="70"/>
        <v>-1.5614728252325001</v>
      </c>
      <c r="K242" s="238"/>
      <c r="L242" s="238"/>
      <c r="M242" s="491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</row>
    <row r="243" spans="1:108" ht="12.75" hidden="1" customHeight="1">
      <c r="A243" s="991" t="s">
        <v>584</v>
      </c>
      <c r="B243" s="992"/>
      <c r="C243" s="992"/>
      <c r="D243" s="243" t="s">
        <v>535</v>
      </c>
      <c r="E243" s="135"/>
      <c r="F243" s="135"/>
      <c r="G243" s="233"/>
      <c r="H243" s="233"/>
      <c r="I243" s="613" t="e">
        <f>H243/F243</f>
        <v>#DIV/0!</v>
      </c>
      <c r="J243" s="531">
        <f t="shared" si="70"/>
        <v>0</v>
      </c>
    </row>
    <row r="244" spans="1:108" ht="12.75" hidden="1" customHeight="1">
      <c r="A244" s="263" t="s">
        <v>58</v>
      </c>
      <c r="B244" s="262"/>
      <c r="C244" s="262"/>
      <c r="D244" s="243">
        <v>10</v>
      </c>
      <c r="E244" s="135"/>
      <c r="F244" s="135"/>
      <c r="G244" s="233"/>
      <c r="H244" s="233"/>
      <c r="I244" s="613" t="e">
        <f>H244/F244</f>
        <v>#DIV/0!</v>
      </c>
      <c r="J244" s="531" t="e">
        <f t="shared" si="70"/>
        <v>#DIV/0!</v>
      </c>
    </row>
    <row r="245" spans="1:108" ht="12.75" hidden="1" customHeight="1">
      <c r="A245" s="263" t="s">
        <v>57</v>
      </c>
      <c r="B245" s="262"/>
      <c r="C245" s="262"/>
      <c r="D245" s="236">
        <v>20</v>
      </c>
      <c r="E245" s="135"/>
      <c r="F245" s="135"/>
      <c r="G245" s="233"/>
      <c r="H245" s="233"/>
      <c r="I245" s="613" t="e">
        <f>H245/F245</f>
        <v>#DIV/0!</v>
      </c>
      <c r="J245" s="531" t="e">
        <f t="shared" si="70"/>
        <v>#DIV/0!</v>
      </c>
    </row>
    <row r="246" spans="1:108" ht="13.15" customHeight="1">
      <c r="A246" s="1048" t="s">
        <v>97</v>
      </c>
      <c r="B246" s="1049"/>
      <c r="C246" s="1050"/>
      <c r="D246" s="243">
        <v>50</v>
      </c>
      <c r="E246" s="179">
        <f t="shared" ref="E246" si="118">E255</f>
        <v>1000000</v>
      </c>
      <c r="F246" s="179">
        <f t="shared" ref="F246:H246" si="119">F255</f>
        <v>0</v>
      </c>
      <c r="G246" s="326">
        <f t="shared" si="119"/>
        <v>0</v>
      </c>
      <c r="H246" s="326">
        <f t="shared" si="119"/>
        <v>0</v>
      </c>
      <c r="I246" s="613"/>
      <c r="J246" s="531" t="e">
        <f t="shared" si="70"/>
        <v>#DIV/0!</v>
      </c>
    </row>
    <row r="247" spans="1:108" ht="13.9" customHeight="1">
      <c r="A247" s="960" t="s">
        <v>438</v>
      </c>
      <c r="B247" s="961"/>
      <c r="C247" s="962"/>
      <c r="D247" s="243" t="s">
        <v>49</v>
      </c>
      <c r="E247" s="135">
        <f t="shared" ref="E247" si="120">E258+E264</f>
        <v>2942000</v>
      </c>
      <c r="F247" s="135">
        <f t="shared" ref="F247:H250" si="121">F258+F264</f>
        <v>1506000</v>
      </c>
      <c r="G247" s="233">
        <f t="shared" si="121"/>
        <v>1230846</v>
      </c>
      <c r="H247" s="233">
        <f t="shared" si="121"/>
        <v>1230844.43</v>
      </c>
      <c r="I247" s="613">
        <f>H247/F247</f>
        <v>0.81729377822045146</v>
      </c>
      <c r="J247" s="531" t="e">
        <f t="shared" si="70"/>
        <v>#DIV/0!</v>
      </c>
    </row>
    <row r="248" spans="1:108" ht="13.9" customHeight="1">
      <c r="A248" s="551"/>
      <c r="B248" s="984" t="s">
        <v>431</v>
      </c>
      <c r="C248" s="964"/>
      <c r="D248" s="277" t="s">
        <v>399</v>
      </c>
      <c r="E248" s="179">
        <f t="shared" ref="E248" si="122">E259+E265</f>
        <v>2942000</v>
      </c>
      <c r="F248" s="179">
        <f t="shared" si="121"/>
        <v>1506000</v>
      </c>
      <c r="G248" s="326">
        <f t="shared" si="121"/>
        <v>1230846</v>
      </c>
      <c r="H248" s="326">
        <f t="shared" si="121"/>
        <v>1230844.43</v>
      </c>
      <c r="I248" s="613">
        <f>H248/F248</f>
        <v>0.81729377822045146</v>
      </c>
      <c r="J248" s="531">
        <f t="shared" si="70"/>
        <v>1</v>
      </c>
    </row>
    <row r="249" spans="1:108" ht="13.9" customHeight="1">
      <c r="A249" s="311"/>
      <c r="B249" s="984" t="s">
        <v>534</v>
      </c>
      <c r="C249" s="964"/>
      <c r="D249" s="277" t="s">
        <v>39</v>
      </c>
      <c r="E249" s="179">
        <f t="shared" ref="E249" si="123">E260+E266</f>
        <v>0</v>
      </c>
      <c r="F249" s="179">
        <f t="shared" si="121"/>
        <v>0</v>
      </c>
      <c r="G249" s="326">
        <f t="shared" si="121"/>
        <v>0</v>
      </c>
      <c r="H249" s="326">
        <f t="shared" si="121"/>
        <v>0</v>
      </c>
      <c r="I249" s="613"/>
      <c r="J249" s="531">
        <f t="shared" si="70"/>
        <v>0</v>
      </c>
    </row>
    <row r="250" spans="1:108" ht="13.9" customHeight="1">
      <c r="A250" s="153"/>
      <c r="B250" s="252" t="s">
        <v>17</v>
      </c>
      <c r="C250" s="144"/>
      <c r="D250" s="277"/>
      <c r="E250" s="326">
        <f t="shared" ref="E250" si="124">E261+E267</f>
        <v>0</v>
      </c>
      <c r="F250" s="326">
        <f t="shared" si="121"/>
        <v>0</v>
      </c>
      <c r="G250" s="326">
        <f t="shared" si="121"/>
        <v>0</v>
      </c>
      <c r="H250" s="326">
        <f t="shared" si="121"/>
        <v>0</v>
      </c>
      <c r="I250" s="613"/>
      <c r="J250" s="531" t="e">
        <f t="shared" si="70"/>
        <v>#DIV/0!</v>
      </c>
    </row>
    <row r="251" spans="1:108" ht="14.45" customHeight="1">
      <c r="A251" s="153"/>
      <c r="B251" s="252" t="s">
        <v>16</v>
      </c>
      <c r="C251" s="144"/>
      <c r="D251" s="277"/>
      <c r="E251" s="179"/>
      <c r="F251" s="179"/>
      <c r="G251" s="326"/>
      <c r="H251" s="326"/>
      <c r="I251" s="613"/>
      <c r="J251" s="531" t="e">
        <f t="shared" si="70"/>
        <v>#DIV/0!</v>
      </c>
    </row>
    <row r="252" spans="1:108" ht="15" hidden="1" customHeight="1">
      <c r="A252" s="960" t="s">
        <v>28</v>
      </c>
      <c r="B252" s="961"/>
      <c r="C252" s="962"/>
      <c r="D252" s="236">
        <v>81</v>
      </c>
      <c r="E252" s="135"/>
      <c r="F252" s="135"/>
      <c r="G252" s="233"/>
      <c r="H252" s="233"/>
      <c r="I252" s="613"/>
      <c r="J252" s="531" t="e">
        <f t="shared" si="70"/>
        <v>#DIV/0!</v>
      </c>
    </row>
    <row r="253" spans="1:108" ht="26.25" hidden="1" customHeight="1">
      <c r="A253" s="540"/>
      <c r="B253" s="325"/>
      <c r="C253" s="324"/>
      <c r="D253" s="289"/>
      <c r="E253" s="137"/>
      <c r="F253" s="137"/>
      <c r="G253" s="229"/>
      <c r="H253" s="229"/>
      <c r="I253" s="613"/>
      <c r="J253" s="531" t="e">
        <f t="shared" si="70"/>
        <v>#DIV/0!</v>
      </c>
    </row>
    <row r="254" spans="1:108" ht="16.899999999999999" customHeight="1">
      <c r="A254" s="1039" t="s">
        <v>583</v>
      </c>
      <c r="B254" s="1040"/>
      <c r="C254" s="1041"/>
      <c r="D254" s="318" t="s">
        <v>98</v>
      </c>
      <c r="E254" s="317">
        <f t="shared" ref="E254:H254" si="125">E255</f>
        <v>1000000</v>
      </c>
      <c r="F254" s="317">
        <f t="shared" si="125"/>
        <v>0</v>
      </c>
      <c r="G254" s="447">
        <f t="shared" si="125"/>
        <v>0</v>
      </c>
      <c r="H254" s="447">
        <f t="shared" si="125"/>
        <v>0</v>
      </c>
      <c r="I254" s="613"/>
      <c r="J254" s="531" t="e">
        <f t="shared" si="70"/>
        <v>#DIV/0!</v>
      </c>
    </row>
    <row r="255" spans="1:108" ht="13.9" customHeight="1">
      <c r="A255" s="1044" t="s">
        <v>97</v>
      </c>
      <c r="B255" s="1045"/>
      <c r="C255" s="1045"/>
      <c r="D255" s="323" t="s">
        <v>96</v>
      </c>
      <c r="E255" s="135">
        <v>1000000</v>
      </c>
      <c r="F255" s="135"/>
      <c r="G255" s="233"/>
      <c r="H255" s="233"/>
      <c r="I255" s="613"/>
      <c r="J255" s="531" t="e">
        <f t="shared" si="70"/>
        <v>#DIV/0!</v>
      </c>
    </row>
    <row r="256" spans="1:108" ht="15" hidden="1" customHeight="1">
      <c r="A256" s="540"/>
      <c r="B256" s="1046"/>
      <c r="C256" s="1024"/>
      <c r="D256" s="322"/>
      <c r="E256" s="158"/>
      <c r="F256" s="158"/>
      <c r="G256" s="446"/>
      <c r="H256" s="446"/>
      <c r="I256" s="613" t="e">
        <f>H256/F256</f>
        <v>#DIV/0!</v>
      </c>
      <c r="J256" s="531" t="e">
        <f t="shared" si="70"/>
        <v>#DIV/0!</v>
      </c>
    </row>
    <row r="257" spans="1:31" ht="16.899999999999999" customHeight="1">
      <c r="A257" s="1039" t="s">
        <v>455</v>
      </c>
      <c r="B257" s="1040"/>
      <c r="C257" s="1041"/>
      <c r="D257" s="318" t="s">
        <v>90</v>
      </c>
      <c r="E257" s="317">
        <f t="shared" ref="E257:H257" si="126">E258</f>
        <v>2942000</v>
      </c>
      <c r="F257" s="317">
        <f t="shared" si="126"/>
        <v>1506000</v>
      </c>
      <c r="G257" s="447">
        <f t="shared" si="126"/>
        <v>1230846</v>
      </c>
      <c r="H257" s="447">
        <f t="shared" si="126"/>
        <v>1230844.43</v>
      </c>
      <c r="I257" s="613">
        <f>H257/F257</f>
        <v>0.81729377822045146</v>
      </c>
      <c r="J257" s="531" t="e">
        <f t="shared" ref="J257:J320" si="127">(H257/H256)</f>
        <v>#DIV/0!</v>
      </c>
    </row>
    <row r="258" spans="1:31" ht="15" customHeight="1">
      <c r="A258" s="960" t="s">
        <v>438</v>
      </c>
      <c r="B258" s="961"/>
      <c r="C258" s="962"/>
      <c r="D258" s="243">
        <v>51</v>
      </c>
      <c r="E258" s="135">
        <f t="shared" ref="E258" si="128">E259+E260</f>
        <v>2942000</v>
      </c>
      <c r="F258" s="135">
        <f t="shared" ref="F258:H258" si="129">F259+F260</f>
        <v>1506000</v>
      </c>
      <c r="G258" s="233">
        <f t="shared" si="129"/>
        <v>1230846</v>
      </c>
      <c r="H258" s="233">
        <f t="shared" si="129"/>
        <v>1230844.43</v>
      </c>
      <c r="I258" s="613">
        <f>H258/F258</f>
        <v>0.81729377822045146</v>
      </c>
      <c r="J258" s="531">
        <f t="shared" si="127"/>
        <v>1</v>
      </c>
    </row>
    <row r="259" spans="1:31" ht="15" customHeight="1">
      <c r="A259" s="321"/>
      <c r="B259" s="1047" t="s">
        <v>431</v>
      </c>
      <c r="C259" s="1047"/>
      <c r="D259" s="320" t="s">
        <v>399</v>
      </c>
      <c r="E259" s="319">
        <v>2942000</v>
      </c>
      <c r="F259" s="319">
        <f>717000+789000</f>
        <v>1506000</v>
      </c>
      <c r="G259" s="233">
        <v>1230846</v>
      </c>
      <c r="H259" s="233">
        <v>1230844.43</v>
      </c>
      <c r="I259" s="613">
        <f>H259/F259</f>
        <v>0.81729377822045146</v>
      </c>
      <c r="J259" s="531">
        <f t="shared" si="127"/>
        <v>1</v>
      </c>
    </row>
    <row r="260" spans="1:31" ht="15" customHeight="1">
      <c r="A260" s="311"/>
      <c r="B260" s="984" t="s">
        <v>534</v>
      </c>
      <c r="C260" s="964"/>
      <c r="D260" s="277" t="s">
        <v>39</v>
      </c>
      <c r="E260" s="175">
        <f t="shared" ref="E260" si="130">E261+E262</f>
        <v>0</v>
      </c>
      <c r="F260" s="175">
        <f t="shared" ref="F260:H260" si="131">F261+F262</f>
        <v>0</v>
      </c>
      <c r="G260" s="448">
        <f t="shared" si="131"/>
        <v>0</v>
      </c>
      <c r="H260" s="448">
        <f t="shared" si="131"/>
        <v>0</v>
      </c>
      <c r="I260" s="613"/>
      <c r="J260" s="531">
        <f t="shared" si="127"/>
        <v>0</v>
      </c>
    </row>
    <row r="261" spans="1:31" ht="15" customHeight="1">
      <c r="A261" s="311"/>
      <c r="B261" s="252" t="s">
        <v>17</v>
      </c>
      <c r="C261" s="144"/>
      <c r="D261" s="277"/>
      <c r="E261" s="175"/>
      <c r="F261" s="175"/>
      <c r="G261" s="448"/>
      <c r="H261" s="448"/>
      <c r="I261" s="613"/>
      <c r="J261" s="531" t="e">
        <f t="shared" si="127"/>
        <v>#DIV/0!</v>
      </c>
    </row>
    <row r="262" spans="1:31" ht="15" customHeight="1">
      <c r="A262" s="311"/>
      <c r="B262" s="252" t="s">
        <v>16</v>
      </c>
      <c r="C262" s="144"/>
      <c r="D262" s="277"/>
      <c r="E262" s="175">
        <v>0</v>
      </c>
      <c r="F262" s="175"/>
      <c r="G262" s="448"/>
      <c r="H262" s="448"/>
      <c r="I262" s="613"/>
      <c r="J262" s="531" t="e">
        <f t="shared" si="127"/>
        <v>#DIV/0!</v>
      </c>
    </row>
    <row r="263" spans="1:31" ht="16.899999999999999" hidden="1" customHeight="1">
      <c r="A263" s="1039" t="s">
        <v>454</v>
      </c>
      <c r="B263" s="1040"/>
      <c r="C263" s="1041"/>
      <c r="D263" s="318" t="s">
        <v>88</v>
      </c>
      <c r="E263" s="317">
        <f t="shared" ref="E263:H263" si="132">E264</f>
        <v>0</v>
      </c>
      <c r="F263" s="317">
        <f t="shared" si="132"/>
        <v>0</v>
      </c>
      <c r="G263" s="447">
        <f t="shared" si="132"/>
        <v>0</v>
      </c>
      <c r="H263" s="447">
        <f t="shared" si="132"/>
        <v>0</v>
      </c>
      <c r="I263" s="613" t="e">
        <f t="shared" ref="I263:I274" si="133">H263/F263</f>
        <v>#DIV/0!</v>
      </c>
      <c r="J263" s="531" t="e">
        <f t="shared" si="127"/>
        <v>#DIV/0!</v>
      </c>
    </row>
    <row r="264" spans="1:31" s="312" customFormat="1" ht="13.15" hidden="1" customHeight="1">
      <c r="A264" s="550" t="s">
        <v>4</v>
      </c>
      <c r="B264" s="274"/>
      <c r="C264" s="316"/>
      <c r="D264" s="315">
        <v>51</v>
      </c>
      <c r="E264" s="314"/>
      <c r="F264" s="314"/>
      <c r="G264" s="449"/>
      <c r="H264" s="449"/>
      <c r="I264" s="613" t="e">
        <f t="shared" si="133"/>
        <v>#DIV/0!</v>
      </c>
      <c r="J264" s="531" t="e">
        <f t="shared" si="127"/>
        <v>#DIV/0!</v>
      </c>
      <c r="K264" s="313"/>
      <c r="L264" s="313"/>
      <c r="M264" s="313"/>
      <c r="N264" s="313"/>
      <c r="O264" s="313"/>
      <c r="P264" s="313"/>
      <c r="Q264" s="313"/>
      <c r="R264" s="313"/>
      <c r="S264" s="313"/>
      <c r="T264" s="313"/>
      <c r="U264" s="313"/>
      <c r="V264" s="313"/>
      <c r="W264" s="313"/>
      <c r="X264" s="313"/>
      <c r="Y264" s="313"/>
      <c r="Z264" s="313"/>
      <c r="AA264" s="313"/>
      <c r="AB264" s="313"/>
      <c r="AC264" s="313"/>
      <c r="AD264" s="313"/>
      <c r="AE264" s="313"/>
    </row>
    <row r="265" spans="1:31" ht="15" hidden="1" customHeight="1">
      <c r="A265" s="551"/>
      <c r="B265" s="984" t="s">
        <v>431</v>
      </c>
      <c r="C265" s="964"/>
      <c r="D265" s="277" t="s">
        <v>399</v>
      </c>
      <c r="E265" s="137"/>
      <c r="F265" s="137"/>
      <c r="G265" s="229"/>
      <c r="H265" s="229"/>
      <c r="I265" s="613" t="e">
        <f t="shared" si="133"/>
        <v>#DIV/0!</v>
      </c>
      <c r="J265" s="531" t="e">
        <f t="shared" si="127"/>
        <v>#DIV/0!</v>
      </c>
    </row>
    <row r="266" spans="1:31" ht="15" hidden="1" customHeight="1">
      <c r="A266" s="311"/>
      <c r="B266" s="984" t="s">
        <v>534</v>
      </c>
      <c r="C266" s="964"/>
      <c r="D266" s="277" t="s">
        <v>39</v>
      </c>
      <c r="E266" s="310"/>
      <c r="F266" s="310"/>
      <c r="G266" s="229"/>
      <c r="H266" s="229"/>
      <c r="I266" s="613" t="e">
        <f t="shared" si="133"/>
        <v>#DIV/0!</v>
      </c>
      <c r="J266" s="531" t="e">
        <f t="shared" si="127"/>
        <v>#DIV/0!</v>
      </c>
    </row>
    <row r="267" spans="1:31" ht="15" hidden="1" customHeight="1">
      <c r="A267" s="153"/>
      <c r="B267" s="252" t="s">
        <v>17</v>
      </c>
      <c r="C267" s="144"/>
      <c r="D267" s="236"/>
      <c r="E267" s="137"/>
      <c r="F267" s="137"/>
      <c r="G267" s="229"/>
      <c r="H267" s="229"/>
      <c r="I267" s="613" t="e">
        <f t="shared" si="133"/>
        <v>#DIV/0!</v>
      </c>
      <c r="J267" s="531" t="e">
        <f t="shared" si="127"/>
        <v>#DIV/0!</v>
      </c>
    </row>
    <row r="268" spans="1:31" ht="15" hidden="1" customHeight="1">
      <c r="A268" s="153"/>
      <c r="B268" s="252" t="s">
        <v>16</v>
      </c>
      <c r="C268" s="144"/>
      <c r="D268" s="236"/>
      <c r="E268" s="137"/>
      <c r="F268" s="137"/>
      <c r="G268" s="229"/>
      <c r="H268" s="229"/>
      <c r="I268" s="613" t="e">
        <f t="shared" si="133"/>
        <v>#DIV/0!</v>
      </c>
      <c r="J268" s="531" t="e">
        <f t="shared" si="127"/>
        <v>#DIV/0!</v>
      </c>
    </row>
    <row r="269" spans="1:31" s="237" customFormat="1" ht="16.899999999999999" customHeight="1">
      <c r="A269" s="1011" t="s">
        <v>582</v>
      </c>
      <c r="B269" s="1012"/>
      <c r="C269" s="1013"/>
      <c r="D269" s="159" t="s">
        <v>452</v>
      </c>
      <c r="E269" s="158">
        <f t="shared" ref="E269" si="134">E270+E271</f>
        <v>1784000</v>
      </c>
      <c r="F269" s="158">
        <f t="shared" ref="F269:H269" si="135">F270+F271</f>
        <v>924000</v>
      </c>
      <c r="G269" s="446">
        <f t="shared" si="135"/>
        <v>725536</v>
      </c>
      <c r="H269" s="446">
        <f t="shared" si="135"/>
        <v>720427.71</v>
      </c>
      <c r="I269" s="613">
        <f t="shared" si="133"/>
        <v>0.7796836688311688</v>
      </c>
      <c r="J269" s="531" t="e">
        <f t="shared" si="127"/>
        <v>#DIV/0!</v>
      </c>
      <c r="K269" s="238"/>
      <c r="L269" s="238"/>
      <c r="M269" s="491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</row>
    <row r="270" spans="1:31" ht="15" customHeight="1">
      <c r="A270" s="309"/>
      <c r="B270" s="1042" t="s">
        <v>581</v>
      </c>
      <c r="C270" s="1042"/>
      <c r="D270" s="147">
        <v>20</v>
      </c>
      <c r="E270" s="137">
        <v>40000</v>
      </c>
      <c r="F270" s="137">
        <v>21000</v>
      </c>
      <c r="G270" s="229">
        <v>19455</v>
      </c>
      <c r="H270" s="229">
        <v>19455</v>
      </c>
      <c r="I270" s="613">
        <f t="shared" si="133"/>
        <v>0.92642857142857138</v>
      </c>
      <c r="J270" s="531">
        <f t="shared" si="127"/>
        <v>2.7004791362064628E-2</v>
      </c>
    </row>
    <row r="271" spans="1:31" ht="15" customHeight="1">
      <c r="A271" s="223"/>
      <c r="B271" s="1043" t="s">
        <v>450</v>
      </c>
      <c r="C271" s="962"/>
      <c r="D271" s="147">
        <v>30</v>
      </c>
      <c r="E271" s="137">
        <v>1744000</v>
      </c>
      <c r="F271" s="137">
        <f>460000+443000</f>
        <v>903000</v>
      </c>
      <c r="G271" s="229">
        <v>706081</v>
      </c>
      <c r="H271" s="229">
        <v>700972.71</v>
      </c>
      <c r="I271" s="613">
        <f t="shared" si="133"/>
        <v>0.7762709966777408</v>
      </c>
      <c r="J271" s="531">
        <f t="shared" si="127"/>
        <v>36.030465690053965</v>
      </c>
    </row>
    <row r="272" spans="1:31" ht="16.899999999999999" customHeight="1">
      <c r="A272" s="845" t="s">
        <v>580</v>
      </c>
      <c r="B272" s="846"/>
      <c r="C272" s="847"/>
      <c r="D272" s="159" t="s">
        <v>85</v>
      </c>
      <c r="E272" s="158">
        <f t="shared" ref="E272" si="136">E273+E274</f>
        <v>535000</v>
      </c>
      <c r="F272" s="158">
        <f t="shared" ref="F272:H272" si="137">F273+F274</f>
        <v>324000</v>
      </c>
      <c r="G272" s="446">
        <f t="shared" si="137"/>
        <v>245997</v>
      </c>
      <c r="H272" s="446">
        <f t="shared" si="137"/>
        <v>239468.94</v>
      </c>
      <c r="I272" s="613">
        <f t="shared" si="133"/>
        <v>0.73910166666666666</v>
      </c>
      <c r="J272" s="531">
        <f t="shared" si="127"/>
        <v>0.34162377020355045</v>
      </c>
      <c r="M272" s="491"/>
    </row>
    <row r="273" spans="1:108" ht="15" customHeight="1">
      <c r="A273" s="960" t="s">
        <v>57</v>
      </c>
      <c r="B273" s="961"/>
      <c r="C273" s="962"/>
      <c r="D273" s="147">
        <v>20</v>
      </c>
      <c r="E273" s="137">
        <v>500000</v>
      </c>
      <c r="F273" s="137">
        <f>148000+141000</f>
        <v>289000</v>
      </c>
      <c r="G273" s="229">
        <v>240999</v>
      </c>
      <c r="H273" s="229">
        <v>234470.94</v>
      </c>
      <c r="I273" s="613">
        <f t="shared" si="133"/>
        <v>0.81131813148788923</v>
      </c>
      <c r="J273" s="531">
        <f t="shared" si="127"/>
        <v>0.97912881729045942</v>
      </c>
    </row>
    <row r="274" spans="1:108" ht="15" customHeight="1">
      <c r="A274" s="983" t="s">
        <v>23</v>
      </c>
      <c r="B274" s="971"/>
      <c r="C274" s="971"/>
      <c r="D274" s="147">
        <v>70</v>
      </c>
      <c r="E274" s="137">
        <f t="shared" ref="E274" si="138">E275+E276</f>
        <v>35000</v>
      </c>
      <c r="F274" s="137">
        <f t="shared" ref="F274:H274" si="139">F275+F276</f>
        <v>35000</v>
      </c>
      <c r="G274" s="229">
        <f t="shared" si="139"/>
        <v>4998</v>
      </c>
      <c r="H274" s="229">
        <f t="shared" si="139"/>
        <v>4998</v>
      </c>
      <c r="I274" s="613">
        <f t="shared" si="133"/>
        <v>0.14280000000000001</v>
      </c>
      <c r="J274" s="531">
        <f t="shared" si="127"/>
        <v>2.1316074392843734E-2</v>
      </c>
    </row>
    <row r="275" spans="1:108" ht="15" customHeight="1">
      <c r="A275" s="153"/>
      <c r="B275" s="252" t="s">
        <v>17</v>
      </c>
      <c r="C275" s="144"/>
      <c r="D275" s="147"/>
      <c r="E275" s="137"/>
      <c r="F275" s="137"/>
      <c r="G275" s="229"/>
      <c r="H275" s="229"/>
      <c r="I275" s="613"/>
      <c r="J275" s="531">
        <f t="shared" si="127"/>
        <v>0</v>
      </c>
    </row>
    <row r="276" spans="1:108" ht="15" customHeight="1">
      <c r="A276" s="153"/>
      <c r="B276" s="252" t="s">
        <v>16</v>
      </c>
      <c r="C276" s="144"/>
      <c r="D276" s="568"/>
      <c r="E276" s="15">
        <v>35000</v>
      </c>
      <c r="F276" s="15">
        <v>35000</v>
      </c>
      <c r="G276" s="94">
        <v>4998</v>
      </c>
      <c r="H276" s="94">
        <v>4998</v>
      </c>
      <c r="I276" s="613">
        <f>H276/F276</f>
        <v>0.14280000000000001</v>
      </c>
      <c r="J276" s="531" t="e">
        <f t="shared" si="127"/>
        <v>#DIV/0!</v>
      </c>
      <c r="M276" s="491"/>
    </row>
    <row r="277" spans="1:108" s="307" customFormat="1" ht="16.899999999999999" customHeight="1">
      <c r="A277" s="571" t="s">
        <v>579</v>
      </c>
      <c r="B277" s="190"/>
      <c r="C277" s="572"/>
      <c r="D277" s="159" t="s">
        <v>83</v>
      </c>
      <c r="E277" s="158">
        <f t="shared" ref="E277" si="140">E278+E279</f>
        <v>578000</v>
      </c>
      <c r="F277" s="158">
        <f t="shared" ref="F277:H277" si="141">F278+F279</f>
        <v>412000</v>
      </c>
      <c r="G277" s="446">
        <f t="shared" si="141"/>
        <v>301221</v>
      </c>
      <c r="H277" s="446">
        <f t="shared" si="141"/>
        <v>222478.89</v>
      </c>
      <c r="I277" s="613">
        <f>H277/F277</f>
        <v>0.53999730582524275</v>
      </c>
      <c r="J277" s="531">
        <f t="shared" si="127"/>
        <v>44.513583433373356</v>
      </c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08"/>
      <c r="X277" s="308"/>
      <c r="Y277" s="308"/>
      <c r="Z277" s="308"/>
      <c r="AA277" s="308"/>
      <c r="AB277" s="308"/>
      <c r="AC277" s="308"/>
      <c r="AD277" s="308"/>
      <c r="AE277" s="308"/>
    </row>
    <row r="278" spans="1:108" ht="15" customHeight="1">
      <c r="A278" s="960" t="s">
        <v>57</v>
      </c>
      <c r="B278" s="961"/>
      <c r="C278" s="962"/>
      <c r="D278" s="147">
        <v>20</v>
      </c>
      <c r="E278" s="137">
        <v>500000</v>
      </c>
      <c r="F278" s="137">
        <f>186000+148000</f>
        <v>334000</v>
      </c>
      <c r="G278" s="229">
        <v>301221</v>
      </c>
      <c r="H278" s="229">
        <v>222478.89</v>
      </c>
      <c r="I278" s="613">
        <f>H278/F278</f>
        <v>0.66610446107784438</v>
      </c>
      <c r="J278" s="531">
        <f t="shared" si="127"/>
        <v>1</v>
      </c>
    </row>
    <row r="279" spans="1:108" ht="15" customHeight="1">
      <c r="A279" s="983" t="s">
        <v>23</v>
      </c>
      <c r="B279" s="971"/>
      <c r="C279" s="971"/>
      <c r="D279" s="147">
        <v>70</v>
      </c>
      <c r="E279" s="137">
        <f t="shared" ref="E279" si="142">E280+E281</f>
        <v>78000</v>
      </c>
      <c r="F279" s="137">
        <f t="shared" ref="F279:H279" si="143">F280+F281</f>
        <v>78000</v>
      </c>
      <c r="G279" s="229">
        <f t="shared" si="143"/>
        <v>0</v>
      </c>
      <c r="H279" s="229">
        <f t="shared" si="143"/>
        <v>0</v>
      </c>
      <c r="I279" s="613">
        <f>H279/F279</f>
        <v>0</v>
      </c>
      <c r="J279" s="531">
        <f t="shared" si="127"/>
        <v>0</v>
      </c>
    </row>
    <row r="280" spans="1:108" ht="15" customHeight="1">
      <c r="A280" s="153"/>
      <c r="B280" s="252" t="s">
        <v>17</v>
      </c>
      <c r="C280" s="144"/>
      <c r="D280" s="147"/>
      <c r="E280" s="406"/>
      <c r="F280" s="406"/>
      <c r="G280" s="407"/>
      <c r="H280" s="407"/>
      <c r="I280" s="613"/>
      <c r="J280" s="531" t="e">
        <f t="shared" si="127"/>
        <v>#DIV/0!</v>
      </c>
    </row>
    <row r="281" spans="1:108" ht="15" customHeight="1">
      <c r="A281" s="153"/>
      <c r="B281" s="252" t="s">
        <v>16</v>
      </c>
      <c r="C281" s="144"/>
      <c r="D281" s="568"/>
      <c r="E281" s="15">
        <v>78000</v>
      </c>
      <c r="F281" s="15">
        <v>78000</v>
      </c>
      <c r="G281" s="94"/>
      <c r="H281" s="94"/>
      <c r="I281" s="613">
        <f t="shared" ref="I281:I287" si="144">H281/F281</f>
        <v>0</v>
      </c>
      <c r="J281" s="531" t="e">
        <f t="shared" si="127"/>
        <v>#DIV/0!</v>
      </c>
    </row>
    <row r="282" spans="1:108" s="237" customFormat="1" ht="16.899999999999999" customHeight="1">
      <c r="A282" s="1031" t="s">
        <v>448</v>
      </c>
      <c r="B282" s="1032"/>
      <c r="C282" s="1032"/>
      <c r="D282" s="270" t="s">
        <v>81</v>
      </c>
      <c r="E282" s="306">
        <f t="shared" ref="E282" si="145">E284+E287+E291</f>
        <v>14483000</v>
      </c>
      <c r="F282" s="306">
        <f t="shared" ref="F282:H282" si="146">F284+F287+F291</f>
        <v>11492000</v>
      </c>
      <c r="G282" s="446">
        <f t="shared" si="146"/>
        <v>3385122</v>
      </c>
      <c r="H282" s="446">
        <f t="shared" si="146"/>
        <v>3256831.8499999996</v>
      </c>
      <c r="I282" s="613">
        <f t="shared" si="144"/>
        <v>0.28339991733379738</v>
      </c>
      <c r="J282" s="531" t="e">
        <f t="shared" si="127"/>
        <v>#DIV/0!</v>
      </c>
      <c r="K282" s="238"/>
      <c r="L282" s="238"/>
      <c r="M282" s="491"/>
      <c r="N282" s="491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</row>
    <row r="283" spans="1:108" s="237" customFormat="1" ht="18.600000000000001" hidden="1" customHeight="1">
      <c r="A283" s="556"/>
      <c r="B283" s="557"/>
      <c r="C283" s="558"/>
      <c r="D283" s="270"/>
      <c r="E283" s="158"/>
      <c r="F283" s="158"/>
      <c r="G283" s="446"/>
      <c r="H283" s="446"/>
      <c r="I283" s="613" t="e">
        <f t="shared" si="144"/>
        <v>#DIV/0!</v>
      </c>
      <c r="J283" s="531">
        <f t="shared" si="127"/>
        <v>0</v>
      </c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</row>
    <row r="284" spans="1:108" s="237" customFormat="1" ht="15.6" hidden="1" customHeight="1">
      <c r="A284" s="1036" t="s">
        <v>447</v>
      </c>
      <c r="B284" s="1037"/>
      <c r="C284" s="1037"/>
      <c r="D284" s="270"/>
      <c r="E284" s="139"/>
      <c r="F284" s="139"/>
      <c r="G284" s="304"/>
      <c r="H284" s="304"/>
      <c r="I284" s="613" t="e">
        <f t="shared" si="144"/>
        <v>#DIV/0!</v>
      </c>
      <c r="J284" s="531" t="e">
        <f t="shared" si="127"/>
        <v>#DIV/0!</v>
      </c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</row>
    <row r="285" spans="1:108" s="237" customFormat="1" ht="14.45" hidden="1" customHeight="1">
      <c r="A285" s="960" t="s">
        <v>58</v>
      </c>
      <c r="B285" s="961"/>
      <c r="C285" s="962"/>
      <c r="D285" s="288">
        <v>10</v>
      </c>
      <c r="E285" s="135"/>
      <c r="F285" s="135"/>
      <c r="G285" s="233"/>
      <c r="H285" s="233"/>
      <c r="I285" s="613" t="e">
        <f t="shared" si="144"/>
        <v>#DIV/0!</v>
      </c>
      <c r="J285" s="531" t="e">
        <f t="shared" si="127"/>
        <v>#DIV/0!</v>
      </c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</row>
    <row r="286" spans="1:108" s="237" customFormat="1" ht="13.15" hidden="1" customHeight="1">
      <c r="A286" s="1000" t="s">
        <v>57</v>
      </c>
      <c r="B286" s="1001"/>
      <c r="C286" s="1001"/>
      <c r="D286" s="288">
        <v>20</v>
      </c>
      <c r="E286" s="135"/>
      <c r="F286" s="135"/>
      <c r="G286" s="233"/>
      <c r="H286" s="233"/>
      <c r="I286" s="613" t="e">
        <f t="shared" si="144"/>
        <v>#DIV/0!</v>
      </c>
      <c r="J286" s="531" t="e">
        <f t="shared" si="127"/>
        <v>#DIV/0!</v>
      </c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</row>
    <row r="287" spans="1:108" s="2" customFormat="1" ht="16.899999999999999" customHeight="1">
      <c r="A287" s="1036" t="s">
        <v>446</v>
      </c>
      <c r="B287" s="1037"/>
      <c r="C287" s="1037"/>
      <c r="D287" s="305" t="s">
        <v>578</v>
      </c>
      <c r="E287" s="139">
        <f t="shared" ref="E287" si="147">E288+E289+E290</f>
        <v>6625000</v>
      </c>
      <c r="F287" s="139">
        <f t="shared" ref="F287:H287" si="148">F288+F289+F290</f>
        <v>6625000</v>
      </c>
      <c r="G287" s="304">
        <f t="shared" si="148"/>
        <v>1374000</v>
      </c>
      <c r="H287" s="304">
        <f t="shared" si="148"/>
        <v>1358224.3</v>
      </c>
      <c r="I287" s="613">
        <f t="shared" si="144"/>
        <v>0.20501498867924528</v>
      </c>
      <c r="J287" s="531" t="e">
        <f t="shared" si="127"/>
        <v>#DIV/0!</v>
      </c>
      <c r="K287" s="100"/>
      <c r="L287" s="100"/>
      <c r="M287" s="3"/>
      <c r="N287" s="100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</row>
    <row r="288" spans="1:108" s="2" customFormat="1" ht="13.9" customHeight="1">
      <c r="A288" s="1000" t="s">
        <v>57</v>
      </c>
      <c r="B288" s="1001"/>
      <c r="C288" s="1001"/>
      <c r="D288" s="288">
        <v>20</v>
      </c>
      <c r="E288" s="356">
        <v>116000</v>
      </c>
      <c r="F288" s="356">
        <v>116000</v>
      </c>
      <c r="G288" s="440"/>
      <c r="H288" s="440"/>
      <c r="I288" s="613"/>
      <c r="J288" s="531">
        <f t="shared" si="127"/>
        <v>0</v>
      </c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</row>
    <row r="289" spans="1:108" s="2" customFormat="1" ht="13.9" customHeight="1">
      <c r="A289" s="1000" t="s">
        <v>577</v>
      </c>
      <c r="B289" s="1001"/>
      <c r="C289" s="1001"/>
      <c r="D289" s="288">
        <v>57</v>
      </c>
      <c r="E289" s="386">
        <v>6509000</v>
      </c>
      <c r="F289" s="386">
        <f>550000+5959000</f>
        <v>6509000</v>
      </c>
      <c r="G289" s="435">
        <v>1374000</v>
      </c>
      <c r="H289" s="435">
        <v>1360117.2</v>
      </c>
      <c r="I289" s="613">
        <f>H289/F289</f>
        <v>0.20895947150099861</v>
      </c>
      <c r="J289" s="531" t="e">
        <f t="shared" si="127"/>
        <v>#DIV/0!</v>
      </c>
      <c r="M289" s="100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</row>
    <row r="290" spans="1:108" s="2" customFormat="1" ht="25.5" customHeight="1">
      <c r="A290" s="811" t="s">
        <v>390</v>
      </c>
      <c r="B290" s="812"/>
      <c r="C290" s="813"/>
      <c r="D290" s="288" t="s">
        <v>389</v>
      </c>
      <c r="E290" s="201"/>
      <c r="F290" s="201"/>
      <c r="G290" s="437"/>
      <c r="H290" s="437">
        <v>-1892.9</v>
      </c>
      <c r="I290" s="613"/>
      <c r="J290" s="531">
        <f t="shared" si="127"/>
        <v>-1.391718301922805E-3</v>
      </c>
      <c r="K290" s="100"/>
      <c r="L290" s="100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</row>
    <row r="291" spans="1:108" s="2" customFormat="1" ht="16.899999999999999" customHeight="1">
      <c r="A291" s="1036" t="s">
        <v>80</v>
      </c>
      <c r="B291" s="1037"/>
      <c r="C291" s="1037"/>
      <c r="D291" s="305" t="s">
        <v>576</v>
      </c>
      <c r="E291" s="304">
        <f t="shared" ref="E291" si="149">E311+E322+E337+E352+E355+E365+E368+E371</f>
        <v>7858000</v>
      </c>
      <c r="F291" s="304">
        <f t="shared" ref="F291:H291" si="150">F311+F322+F337+F352+F355+F365+F368+F371</f>
        <v>4867000</v>
      </c>
      <c r="G291" s="304">
        <f t="shared" si="150"/>
        <v>2011122</v>
      </c>
      <c r="H291" s="304">
        <f t="shared" si="150"/>
        <v>1898607.5499999998</v>
      </c>
      <c r="I291" s="613">
        <f t="shared" ref="I291:I298" si="151">H291/F291</f>
        <v>0.39009811999178134</v>
      </c>
      <c r="J291" s="531">
        <f t="shared" si="127"/>
        <v>-1003.0152411643509</v>
      </c>
      <c r="K291" s="100"/>
      <c r="L291" s="100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</row>
    <row r="292" spans="1:108" s="2" customFormat="1" ht="15" customHeight="1">
      <c r="A292" s="960" t="s">
        <v>58</v>
      </c>
      <c r="B292" s="961"/>
      <c r="C292" s="962"/>
      <c r="D292" s="236">
        <v>10</v>
      </c>
      <c r="E292" s="233">
        <f>E312+E323+E338</f>
        <v>106000</v>
      </c>
      <c r="F292" s="233">
        <f>F312+F323+F338</f>
        <v>57000</v>
      </c>
      <c r="G292" s="233">
        <f t="shared" ref="G292:H292" si="152">G312+G323+G338</f>
        <v>40724</v>
      </c>
      <c r="H292" s="233">
        <f t="shared" si="152"/>
        <v>40674</v>
      </c>
      <c r="I292" s="613">
        <f t="shared" si="151"/>
        <v>0.71357894736842109</v>
      </c>
      <c r="J292" s="531">
        <f t="shared" si="127"/>
        <v>2.1423068711593402E-2</v>
      </c>
      <c r="K292" s="100"/>
      <c r="L292" s="100"/>
      <c r="M292" s="100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</row>
    <row r="293" spans="1:108" s="2" customFormat="1" ht="15" customHeight="1">
      <c r="A293" s="960" t="s">
        <v>57</v>
      </c>
      <c r="B293" s="961"/>
      <c r="C293" s="962"/>
      <c r="D293" s="236">
        <v>20</v>
      </c>
      <c r="E293" s="233">
        <f>E313+E324+E339+E353+E354</f>
        <v>3343000</v>
      </c>
      <c r="F293" s="233">
        <f>F313+F324+F339+F353+F354</f>
        <v>1613000</v>
      </c>
      <c r="G293" s="233">
        <f t="shared" ref="G293:H293" si="153">G313+G324+G339+G353+G354</f>
        <v>759852</v>
      </c>
      <c r="H293" s="233">
        <f t="shared" si="153"/>
        <v>677272.38</v>
      </c>
      <c r="I293" s="613">
        <f t="shared" si="151"/>
        <v>0.41988368257904524</v>
      </c>
      <c r="J293" s="531">
        <f t="shared" si="127"/>
        <v>16.651236170526627</v>
      </c>
      <c r="K293" s="100"/>
      <c r="L293" s="100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</row>
    <row r="294" spans="1:108" s="2" customFormat="1" ht="15" customHeight="1">
      <c r="A294" s="960" t="s">
        <v>438</v>
      </c>
      <c r="B294" s="961"/>
      <c r="C294" s="962"/>
      <c r="D294" s="236">
        <v>51</v>
      </c>
      <c r="E294" s="135">
        <f t="shared" ref="E294" si="154">E295+E296</f>
        <v>1549000</v>
      </c>
      <c r="F294" s="135">
        <f t="shared" ref="F294:H294" si="155">F295+F296</f>
        <v>842000</v>
      </c>
      <c r="G294" s="233">
        <f t="shared" si="155"/>
        <v>436739</v>
      </c>
      <c r="H294" s="233">
        <f t="shared" si="155"/>
        <v>436739</v>
      </c>
      <c r="I294" s="613">
        <f t="shared" si="151"/>
        <v>0.51869239904988118</v>
      </c>
      <c r="J294" s="531">
        <f t="shared" si="127"/>
        <v>0.64484986084919038</v>
      </c>
      <c r="K294" s="100"/>
      <c r="L294" s="100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</row>
    <row r="295" spans="1:108" s="2" customFormat="1" ht="15" customHeight="1">
      <c r="A295" s="548"/>
      <c r="B295" s="984" t="s">
        <v>431</v>
      </c>
      <c r="C295" s="964"/>
      <c r="D295" s="236" t="s">
        <v>385</v>
      </c>
      <c r="E295" s="135">
        <f t="shared" ref="E295" si="156">E357</f>
        <v>1447000</v>
      </c>
      <c r="F295" s="135">
        <f t="shared" ref="F295:H295" si="157">F357</f>
        <v>752000</v>
      </c>
      <c r="G295" s="233">
        <f t="shared" si="157"/>
        <v>436739</v>
      </c>
      <c r="H295" s="233">
        <f t="shared" si="157"/>
        <v>436739</v>
      </c>
      <c r="I295" s="613">
        <f t="shared" si="151"/>
        <v>0.58076994680851068</v>
      </c>
      <c r="J295" s="531">
        <f t="shared" si="127"/>
        <v>1</v>
      </c>
      <c r="K295" s="100"/>
      <c r="L295" s="100"/>
      <c r="M295" s="100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</row>
    <row r="296" spans="1:108" s="2" customFormat="1" ht="15" customHeight="1">
      <c r="A296" s="548"/>
      <c r="B296" s="984" t="s">
        <v>557</v>
      </c>
      <c r="C296" s="964"/>
      <c r="D296" s="236" t="s">
        <v>71</v>
      </c>
      <c r="E296" s="135">
        <f t="shared" ref="E296" si="158">E362</f>
        <v>102000</v>
      </c>
      <c r="F296" s="135">
        <f t="shared" ref="F296:H296" si="159">F362</f>
        <v>90000</v>
      </c>
      <c r="G296" s="233">
        <f t="shared" si="159"/>
        <v>0</v>
      </c>
      <c r="H296" s="233">
        <f t="shared" si="159"/>
        <v>0</v>
      </c>
      <c r="I296" s="613">
        <f t="shared" si="151"/>
        <v>0</v>
      </c>
      <c r="J296" s="531">
        <f t="shared" si="127"/>
        <v>0</v>
      </c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</row>
    <row r="297" spans="1:108" s="2" customFormat="1" ht="15" customHeight="1">
      <c r="A297" s="1038" t="s">
        <v>688</v>
      </c>
      <c r="B297" s="827"/>
      <c r="C297" s="828"/>
      <c r="D297" s="236">
        <v>55</v>
      </c>
      <c r="E297" s="135">
        <f t="shared" ref="E297" si="160">E374</f>
        <v>123000</v>
      </c>
      <c r="F297" s="135">
        <f t="shared" ref="F297:H297" si="161">F374</f>
        <v>77000</v>
      </c>
      <c r="G297" s="233">
        <f t="shared" si="161"/>
        <v>77000</v>
      </c>
      <c r="H297" s="233">
        <f t="shared" si="161"/>
        <v>76332.5</v>
      </c>
      <c r="I297" s="613">
        <f t="shared" si="151"/>
        <v>0.99133116883116879</v>
      </c>
      <c r="J297" s="531" t="e">
        <f t="shared" si="127"/>
        <v>#DIV/0!</v>
      </c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</row>
    <row r="298" spans="1:108" s="2" customFormat="1" ht="15" customHeight="1">
      <c r="A298" s="1000" t="s">
        <v>419</v>
      </c>
      <c r="B298" s="1001"/>
      <c r="C298" s="1001"/>
      <c r="D298" s="236">
        <v>57</v>
      </c>
      <c r="E298" s="135">
        <f t="shared" ref="E298" si="162">E314+E329</f>
        <v>875000</v>
      </c>
      <c r="F298" s="135">
        <f t="shared" ref="F298:H298" si="163">F314+F329</f>
        <v>680000</v>
      </c>
      <c r="G298" s="233">
        <f t="shared" si="163"/>
        <v>344134</v>
      </c>
      <c r="H298" s="233">
        <f t="shared" si="163"/>
        <v>316493.40000000002</v>
      </c>
      <c r="I298" s="613">
        <f t="shared" si="151"/>
        <v>0.46543147058823531</v>
      </c>
      <c r="J298" s="531">
        <f t="shared" si="127"/>
        <v>4.1462470114302565</v>
      </c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</row>
    <row r="299" spans="1:108" s="2" customFormat="1" ht="15" customHeight="1">
      <c r="A299" s="983" t="s">
        <v>575</v>
      </c>
      <c r="B299" s="971"/>
      <c r="C299" s="971"/>
      <c r="D299" s="236" t="s">
        <v>420</v>
      </c>
      <c r="E299" s="135"/>
      <c r="F299" s="135"/>
      <c r="G299" s="233"/>
      <c r="H299" s="233"/>
      <c r="I299" s="613"/>
      <c r="J299" s="531">
        <f t="shared" si="127"/>
        <v>0</v>
      </c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</row>
    <row r="300" spans="1:108" s="2" customFormat="1" ht="14.45" customHeight="1">
      <c r="A300" s="979" t="s">
        <v>56</v>
      </c>
      <c r="B300" s="980"/>
      <c r="C300" s="980"/>
      <c r="D300" s="147">
        <v>58</v>
      </c>
      <c r="E300" s="137">
        <f t="shared" ref="E300" si="164">E301+E302+E303</f>
        <v>185000</v>
      </c>
      <c r="F300" s="137">
        <f t="shared" ref="F300:H300" si="165">F301+F302+F303</f>
        <v>185000</v>
      </c>
      <c r="G300" s="229">
        <f t="shared" si="165"/>
        <v>164852</v>
      </c>
      <c r="H300" s="229">
        <f t="shared" si="165"/>
        <v>164802.4</v>
      </c>
      <c r="I300" s="613">
        <f>H300/F300</f>
        <v>0.8908237837837838</v>
      </c>
      <c r="J300" s="531" t="e">
        <f t="shared" si="127"/>
        <v>#DIV/0!</v>
      </c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</row>
    <row r="301" spans="1:108" s="2" customFormat="1" ht="13.9" customHeight="1">
      <c r="A301" s="153"/>
      <c r="B301" s="252" t="s">
        <v>17</v>
      </c>
      <c r="C301" s="144"/>
      <c r="D301" s="236"/>
      <c r="E301" s="137">
        <f t="shared" ref="E301" si="166">E326+E342</f>
        <v>0</v>
      </c>
      <c r="F301" s="137">
        <f t="shared" ref="F301:H301" si="167">F326+F342</f>
        <v>0</v>
      </c>
      <c r="G301" s="229">
        <f t="shared" si="167"/>
        <v>0</v>
      </c>
      <c r="H301" s="229">
        <f t="shared" si="167"/>
        <v>0</v>
      </c>
      <c r="I301" s="613"/>
      <c r="J301" s="531">
        <f t="shared" si="127"/>
        <v>0</v>
      </c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</row>
    <row r="302" spans="1:108" s="2" customFormat="1" ht="13.15" customHeight="1">
      <c r="A302" s="153"/>
      <c r="B302" s="252" t="s">
        <v>16</v>
      </c>
      <c r="C302" s="144"/>
      <c r="D302" s="236"/>
      <c r="E302" s="15">
        <f t="shared" ref="E302" si="168">E343+E327</f>
        <v>28000</v>
      </c>
      <c r="F302" s="15">
        <f t="shared" ref="F302:H303" si="169">F343+F327</f>
        <v>28000</v>
      </c>
      <c r="G302" s="94">
        <f t="shared" si="169"/>
        <v>24729</v>
      </c>
      <c r="H302" s="94">
        <f t="shared" si="169"/>
        <v>24722.5</v>
      </c>
      <c r="I302" s="613">
        <f>H302/F302</f>
        <v>0.88294642857142858</v>
      </c>
      <c r="J302" s="531" t="e">
        <f t="shared" si="127"/>
        <v>#DIV/0!</v>
      </c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</row>
    <row r="303" spans="1:108" s="2" customFormat="1" ht="13.15" customHeight="1">
      <c r="A303" s="301"/>
      <c r="B303" s="251" t="s">
        <v>42</v>
      </c>
      <c r="C303" s="300"/>
      <c r="D303" s="236"/>
      <c r="E303" s="15">
        <f t="shared" ref="E303" si="170">E344+E328</f>
        <v>157000</v>
      </c>
      <c r="F303" s="15">
        <f t="shared" si="169"/>
        <v>157000</v>
      </c>
      <c r="G303" s="94">
        <f t="shared" si="169"/>
        <v>140123</v>
      </c>
      <c r="H303" s="94">
        <f t="shared" si="169"/>
        <v>140079.9</v>
      </c>
      <c r="I303" s="613">
        <f>H303/F303</f>
        <v>0.89222866242038212</v>
      </c>
      <c r="J303" s="531">
        <f t="shared" si="127"/>
        <v>5.6660895944989376</v>
      </c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</row>
    <row r="304" spans="1:108" ht="15" customHeight="1">
      <c r="A304" s="826" t="s">
        <v>413</v>
      </c>
      <c r="B304" s="827"/>
      <c r="C304" s="828"/>
      <c r="D304" s="236">
        <v>59</v>
      </c>
      <c r="E304" s="135">
        <f t="shared" ref="E304" si="171">E332+E340+E373+E317</f>
        <v>536000</v>
      </c>
      <c r="F304" s="135">
        <f t="shared" ref="F304:H304" si="172">F332+F340+F373+F317</f>
        <v>272000</v>
      </c>
      <c r="G304" s="233">
        <f t="shared" si="172"/>
        <v>187250</v>
      </c>
      <c r="H304" s="233">
        <f t="shared" si="172"/>
        <v>187250</v>
      </c>
      <c r="I304" s="613">
        <f>H304/F304</f>
        <v>0.68841911764705888</v>
      </c>
      <c r="J304" s="531">
        <f t="shared" si="127"/>
        <v>1.3367371050379107</v>
      </c>
    </row>
    <row r="305" spans="1:31" ht="15" customHeight="1">
      <c r="A305" s="983" t="s">
        <v>23</v>
      </c>
      <c r="B305" s="971"/>
      <c r="C305" s="971"/>
      <c r="D305" s="236">
        <v>70</v>
      </c>
      <c r="E305" s="233">
        <f t="shared" ref="E305" si="173">E318+E345+E333</f>
        <v>1141000</v>
      </c>
      <c r="F305" s="233">
        <f t="shared" ref="F305:H305" si="174">F318+F345+F333</f>
        <v>1141000</v>
      </c>
      <c r="G305" s="233">
        <f t="shared" si="174"/>
        <v>571</v>
      </c>
      <c r="H305" s="233">
        <f t="shared" si="174"/>
        <v>570.04999999999995</v>
      </c>
      <c r="I305" s="613">
        <f>H305/F305</f>
        <v>4.9960560911481151E-4</v>
      </c>
      <c r="J305" s="531">
        <f t="shared" si="127"/>
        <v>3.0443257676902535E-3</v>
      </c>
    </row>
    <row r="306" spans="1:31" ht="15" customHeight="1">
      <c r="A306" s="153"/>
      <c r="B306" s="252" t="s">
        <v>17</v>
      </c>
      <c r="C306" s="144"/>
      <c r="D306" s="288"/>
      <c r="E306" s="135">
        <f t="shared" ref="E306" si="175">E319</f>
        <v>0</v>
      </c>
      <c r="F306" s="135">
        <f t="shared" ref="F306:H306" si="176">F319</f>
        <v>0</v>
      </c>
      <c r="G306" s="233">
        <f t="shared" si="176"/>
        <v>0</v>
      </c>
      <c r="H306" s="233">
        <f t="shared" si="176"/>
        <v>0</v>
      </c>
      <c r="I306" s="613"/>
      <c r="J306" s="531">
        <f t="shared" si="127"/>
        <v>0</v>
      </c>
    </row>
    <row r="307" spans="1:31" ht="15" customHeight="1">
      <c r="A307" s="153"/>
      <c r="B307" s="252" t="s">
        <v>16</v>
      </c>
      <c r="C307" s="144"/>
      <c r="D307" s="288"/>
      <c r="E307" s="94">
        <f t="shared" ref="E307" si="177">E320+E348+E335</f>
        <v>1141000</v>
      </c>
      <c r="F307" s="94">
        <f t="shared" ref="F307:H307" si="178">F320+F348+F335</f>
        <v>1141000</v>
      </c>
      <c r="G307" s="94">
        <f t="shared" si="178"/>
        <v>571</v>
      </c>
      <c r="H307" s="94">
        <f t="shared" si="178"/>
        <v>570.04999999999995</v>
      </c>
      <c r="I307" s="613">
        <f>H307/F307</f>
        <v>4.9960560911481151E-4</v>
      </c>
      <c r="J307" s="531" t="e">
        <f t="shared" si="127"/>
        <v>#DIV/0!</v>
      </c>
    </row>
    <row r="308" spans="1:31" ht="13.15" customHeight="1">
      <c r="A308" s="1009"/>
      <c r="B308" s="1010"/>
      <c r="C308" s="1010"/>
      <c r="D308" s="303" t="s">
        <v>667</v>
      </c>
      <c r="E308" s="135">
        <f t="shared" ref="E308" si="179">E309+E310</f>
        <v>0</v>
      </c>
      <c r="F308" s="135">
        <f t="shared" ref="F308:H308" si="180">F309+F310</f>
        <v>0</v>
      </c>
      <c r="G308" s="233">
        <f t="shared" si="180"/>
        <v>0</v>
      </c>
      <c r="H308" s="233">
        <f t="shared" si="180"/>
        <v>-1526.18</v>
      </c>
      <c r="I308" s="613"/>
      <c r="J308" s="531">
        <f t="shared" si="127"/>
        <v>-2.6772739233400582</v>
      </c>
    </row>
    <row r="309" spans="1:31" ht="26.25" customHeight="1">
      <c r="A309" s="811" t="s">
        <v>390</v>
      </c>
      <c r="B309" s="812"/>
      <c r="C309" s="813"/>
      <c r="D309" s="288" t="s">
        <v>389</v>
      </c>
      <c r="E309" s="135"/>
      <c r="F309" s="135"/>
      <c r="G309" s="233"/>
      <c r="H309" s="233">
        <f>H321+H336+H350</f>
        <v>-1526.18</v>
      </c>
      <c r="I309" s="613"/>
      <c r="J309" s="531">
        <f t="shared" si="127"/>
        <v>1</v>
      </c>
    </row>
    <row r="310" spans="1:31" ht="26.25" customHeight="1">
      <c r="A310" s="811" t="s">
        <v>14</v>
      </c>
      <c r="B310" s="812"/>
      <c r="C310" s="813"/>
      <c r="D310" s="288" t="s">
        <v>13</v>
      </c>
      <c r="E310" s="135">
        <f t="shared" ref="E310" si="181">E351</f>
        <v>0</v>
      </c>
      <c r="F310" s="135">
        <f t="shared" ref="F310:H310" si="182">F351</f>
        <v>0</v>
      </c>
      <c r="G310" s="233">
        <f t="shared" si="182"/>
        <v>0</v>
      </c>
      <c r="H310" s="233">
        <f t="shared" si="182"/>
        <v>0</v>
      </c>
      <c r="I310" s="613"/>
      <c r="J310" s="531">
        <f t="shared" si="127"/>
        <v>0</v>
      </c>
    </row>
    <row r="311" spans="1:31" s="297" customFormat="1" ht="15.6" customHeight="1">
      <c r="A311" s="957" t="s">
        <v>574</v>
      </c>
      <c r="B311" s="958"/>
      <c r="C311" s="959"/>
      <c r="D311" s="268" t="s">
        <v>73</v>
      </c>
      <c r="E311" s="302">
        <f t="shared" ref="E311" si="183">E312+E313+E314+E318+E317</f>
        <v>3082000</v>
      </c>
      <c r="F311" s="302">
        <f t="shared" ref="F311:H311" si="184">F312+F313+F314+F318+F317</f>
        <v>2267000</v>
      </c>
      <c r="G311" s="450">
        <f t="shared" si="184"/>
        <v>481586</v>
      </c>
      <c r="H311" s="450">
        <f t="shared" si="184"/>
        <v>451673.87</v>
      </c>
      <c r="I311" s="613">
        <f>H311/F311</f>
        <v>0.19923858403176004</v>
      </c>
      <c r="J311" s="531" t="e">
        <f t="shared" si="127"/>
        <v>#DIV/0!</v>
      </c>
      <c r="K311" s="412"/>
      <c r="L311" s="412"/>
      <c r="M311" s="491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  <c r="AA311" s="298"/>
      <c r="AB311" s="298"/>
      <c r="AC311" s="298"/>
      <c r="AD311" s="298"/>
      <c r="AE311" s="298"/>
    </row>
    <row r="312" spans="1:31" ht="13.9" customHeight="1">
      <c r="A312" s="960" t="s">
        <v>58</v>
      </c>
      <c r="B312" s="961"/>
      <c r="C312" s="962"/>
      <c r="D312" s="236">
        <v>10</v>
      </c>
      <c r="E312" s="137"/>
      <c r="F312" s="137"/>
      <c r="G312" s="229"/>
      <c r="H312" s="229"/>
      <c r="I312" s="613"/>
      <c r="J312" s="531">
        <f t="shared" si="127"/>
        <v>0</v>
      </c>
    </row>
    <row r="313" spans="1:31" ht="12.6" customHeight="1">
      <c r="A313" s="960" t="s">
        <v>57</v>
      </c>
      <c r="B313" s="961"/>
      <c r="C313" s="962"/>
      <c r="D313" s="236">
        <v>20</v>
      </c>
      <c r="E313" s="137">
        <v>1642000</v>
      </c>
      <c r="F313" s="137">
        <f>467000+406000</f>
        <v>873000</v>
      </c>
      <c r="G313" s="439">
        <v>376369</v>
      </c>
      <c r="H313" s="441">
        <v>346457.82</v>
      </c>
      <c r="I313" s="613">
        <f>H313/F313</f>
        <v>0.39685890034364263</v>
      </c>
      <c r="J313" s="531" t="e">
        <f t="shared" si="127"/>
        <v>#DIV/0!</v>
      </c>
    </row>
    <row r="314" spans="1:31" ht="13.15" customHeight="1">
      <c r="A314" s="1000" t="s">
        <v>419</v>
      </c>
      <c r="B314" s="1001"/>
      <c r="C314" s="1001"/>
      <c r="D314" s="236">
        <v>57</v>
      </c>
      <c r="E314" s="137">
        <f t="shared" ref="E314" si="185">E315+E316</f>
        <v>179000</v>
      </c>
      <c r="F314" s="137">
        <f t="shared" ref="F314:H314" si="186">F315+F316</f>
        <v>179000</v>
      </c>
      <c r="G314" s="441">
        <f t="shared" si="186"/>
        <v>53896</v>
      </c>
      <c r="H314" s="441">
        <f t="shared" si="186"/>
        <v>53896</v>
      </c>
      <c r="I314" s="613">
        <f>H314/F314</f>
        <v>0.30109497206703911</v>
      </c>
      <c r="J314" s="531">
        <f t="shared" si="127"/>
        <v>0.15556294847089899</v>
      </c>
    </row>
    <row r="315" spans="1:31" ht="13.15" customHeight="1">
      <c r="A315" s="983" t="s">
        <v>443</v>
      </c>
      <c r="B315" s="971"/>
      <c r="C315" s="971"/>
      <c r="D315" s="236" t="s">
        <v>417</v>
      </c>
      <c r="E315" s="399">
        <v>179000</v>
      </c>
      <c r="F315" s="399">
        <f>90000+89000</f>
        <v>179000</v>
      </c>
      <c r="G315" s="441">
        <v>53896</v>
      </c>
      <c r="H315" s="441">
        <v>53896</v>
      </c>
      <c r="I315" s="613">
        <f>H315/F315</f>
        <v>0.30109497206703911</v>
      </c>
      <c r="J315" s="531">
        <f t="shared" si="127"/>
        <v>1</v>
      </c>
    </row>
    <row r="316" spans="1:31" ht="13.15" customHeight="1">
      <c r="A316" s="983" t="s">
        <v>442</v>
      </c>
      <c r="B316" s="971"/>
      <c r="C316" s="971"/>
      <c r="D316" s="236" t="s">
        <v>415</v>
      </c>
      <c r="E316" s="137"/>
      <c r="F316" s="137"/>
      <c r="G316" s="441"/>
      <c r="H316" s="441"/>
      <c r="I316" s="613"/>
      <c r="J316" s="531">
        <f t="shared" si="127"/>
        <v>0</v>
      </c>
    </row>
    <row r="317" spans="1:31" ht="13.15" customHeight="1">
      <c r="A317" s="983" t="s">
        <v>678</v>
      </c>
      <c r="B317" s="971"/>
      <c r="C317" s="971"/>
      <c r="D317" s="236">
        <v>59</v>
      </c>
      <c r="E317" s="137">
        <v>120000</v>
      </c>
      <c r="F317" s="137">
        <f>37000+37000</f>
        <v>74000</v>
      </c>
      <c r="G317" s="441">
        <v>50750</v>
      </c>
      <c r="H317" s="441">
        <v>50750</v>
      </c>
      <c r="I317" s="613">
        <f>H317/F317</f>
        <v>0.68581081081081086</v>
      </c>
      <c r="J317" s="531" t="e">
        <f t="shared" si="127"/>
        <v>#DIV/0!</v>
      </c>
    </row>
    <row r="318" spans="1:31" ht="13.15" customHeight="1">
      <c r="A318" s="983" t="s">
        <v>23</v>
      </c>
      <c r="B318" s="971"/>
      <c r="C318" s="971"/>
      <c r="D318" s="236">
        <v>70</v>
      </c>
      <c r="E318" s="137">
        <f t="shared" ref="E318" si="187">E320</f>
        <v>1141000</v>
      </c>
      <c r="F318" s="137">
        <f t="shared" ref="F318:H318" si="188">F320</f>
        <v>1141000</v>
      </c>
      <c r="G318" s="441">
        <f t="shared" si="188"/>
        <v>571</v>
      </c>
      <c r="H318" s="441">
        <f t="shared" si="188"/>
        <v>570.04999999999995</v>
      </c>
      <c r="I318" s="613">
        <f>H318/F318</f>
        <v>4.9960560911481151E-4</v>
      </c>
      <c r="J318" s="531">
        <f t="shared" si="127"/>
        <v>1.1232512315270934E-2</v>
      </c>
    </row>
    <row r="319" spans="1:31" ht="13.9" customHeight="1">
      <c r="A319" s="153"/>
      <c r="B319" s="252" t="s">
        <v>17</v>
      </c>
      <c r="C319" s="144"/>
      <c r="D319" s="160"/>
      <c r="E319" s="137"/>
      <c r="F319" s="137"/>
      <c r="G319" s="229"/>
      <c r="H319" s="229"/>
      <c r="I319" s="613"/>
      <c r="J319" s="531">
        <f t="shared" si="127"/>
        <v>0</v>
      </c>
    </row>
    <row r="320" spans="1:31" ht="12.6" customHeight="1">
      <c r="A320" s="153"/>
      <c r="B320" s="252" t="s">
        <v>16</v>
      </c>
      <c r="C320" s="144"/>
      <c r="D320" s="143"/>
      <c r="E320" s="429">
        <v>1141000</v>
      </c>
      <c r="F320" s="429">
        <v>1141000</v>
      </c>
      <c r="G320" s="94">
        <v>571</v>
      </c>
      <c r="H320" s="94">
        <v>570.04999999999995</v>
      </c>
      <c r="I320" s="613">
        <f>H320/F320</f>
        <v>4.9960560911481151E-4</v>
      </c>
      <c r="J320" s="531" t="e">
        <f t="shared" si="127"/>
        <v>#DIV/0!</v>
      </c>
    </row>
    <row r="321" spans="1:31" ht="25.5" customHeight="1">
      <c r="A321" s="811" t="s">
        <v>390</v>
      </c>
      <c r="B321" s="812"/>
      <c r="C321" s="813"/>
      <c r="D321" s="143" t="s">
        <v>389</v>
      </c>
      <c r="E321" s="408"/>
      <c r="F321" s="408"/>
      <c r="G321" s="452"/>
      <c r="H321" s="452"/>
      <c r="I321" s="613"/>
      <c r="J321" s="531">
        <f t="shared" ref="J321:J384" si="189">(H321/H320)</f>
        <v>0</v>
      </c>
    </row>
    <row r="322" spans="1:31" s="297" customFormat="1" ht="15" customHeight="1">
      <c r="A322" s="957" t="s">
        <v>444</v>
      </c>
      <c r="B322" s="958"/>
      <c r="C322" s="959"/>
      <c r="D322" s="268" t="s">
        <v>73</v>
      </c>
      <c r="E322" s="299">
        <f t="shared" ref="E322" si="190">E323+E324+E325+E329+E333+E332+E336</f>
        <v>2012000</v>
      </c>
      <c r="F322" s="299">
        <f t="shared" ref="F322:H322" si="191">F323+F324+F325+F329+F333+F332+F336</f>
        <v>1237000</v>
      </c>
      <c r="G322" s="299">
        <f t="shared" si="191"/>
        <v>735134</v>
      </c>
      <c r="H322" s="299">
        <f t="shared" si="191"/>
        <v>660534.52999999991</v>
      </c>
      <c r="I322" s="613">
        <f>H322/F322</f>
        <v>0.5339810266774454</v>
      </c>
      <c r="J322" s="531" t="e">
        <f t="shared" si="189"/>
        <v>#DIV/0!</v>
      </c>
      <c r="K322" s="298"/>
      <c r="L322" s="298"/>
      <c r="M322" s="491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  <c r="AA322" s="298"/>
      <c r="AB322" s="298"/>
      <c r="AC322" s="298"/>
      <c r="AD322" s="298"/>
      <c r="AE322" s="298"/>
    </row>
    <row r="323" spans="1:31" ht="14.45" customHeight="1">
      <c r="A323" s="263" t="s">
        <v>58</v>
      </c>
      <c r="B323" s="262"/>
      <c r="C323" s="262"/>
      <c r="D323" s="236">
        <v>10</v>
      </c>
      <c r="E323" s="137"/>
      <c r="F323" s="137"/>
      <c r="G323" s="229"/>
      <c r="H323" s="229"/>
      <c r="I323" s="613"/>
      <c r="J323" s="531">
        <f t="shared" si="189"/>
        <v>0</v>
      </c>
    </row>
    <row r="324" spans="1:31" ht="13.15" customHeight="1">
      <c r="A324" s="263" t="s">
        <v>57</v>
      </c>
      <c r="B324" s="262"/>
      <c r="C324" s="262"/>
      <c r="D324" s="236">
        <v>20</v>
      </c>
      <c r="E324" s="229">
        <v>900000</v>
      </c>
      <c r="F324" s="229">
        <f>242000+296000</f>
        <v>538000</v>
      </c>
      <c r="G324" s="441">
        <v>308396</v>
      </c>
      <c r="H324" s="441">
        <v>262963.31</v>
      </c>
      <c r="I324" s="613">
        <f>H324/F324</f>
        <v>0.48877938661710035</v>
      </c>
      <c r="J324" s="531" t="e">
        <f t="shared" si="189"/>
        <v>#DIV/0!</v>
      </c>
    </row>
    <row r="325" spans="1:31" ht="12.6" customHeight="1">
      <c r="A325" s="979" t="s">
        <v>25</v>
      </c>
      <c r="B325" s="980"/>
      <c r="C325" s="980"/>
      <c r="D325" s="236">
        <v>58</v>
      </c>
      <c r="E325" s="137"/>
      <c r="F325" s="137"/>
      <c r="G325" s="441"/>
      <c r="H325" s="441"/>
      <c r="I325" s="613"/>
      <c r="J325" s="531">
        <f t="shared" si="189"/>
        <v>0</v>
      </c>
    </row>
    <row r="326" spans="1:31" ht="13.15" customHeight="1">
      <c r="A326" s="153"/>
      <c r="B326" s="252" t="s">
        <v>17</v>
      </c>
      <c r="C326" s="144"/>
      <c r="D326" s="236"/>
      <c r="E326" s="137"/>
      <c r="F326" s="137"/>
      <c r="G326" s="441"/>
      <c r="H326" s="441"/>
      <c r="I326" s="613"/>
      <c r="J326" s="531" t="e">
        <f t="shared" si="189"/>
        <v>#DIV/0!</v>
      </c>
    </row>
    <row r="327" spans="1:31" ht="13.15" customHeight="1">
      <c r="A327" s="153"/>
      <c r="B327" s="252" t="s">
        <v>16</v>
      </c>
      <c r="C327" s="144"/>
      <c r="D327" s="236"/>
      <c r="E327" s="15"/>
      <c r="F327" s="15"/>
      <c r="G327" s="444"/>
      <c r="H327" s="444"/>
      <c r="I327" s="613"/>
      <c r="J327" s="531" t="e">
        <f t="shared" si="189"/>
        <v>#DIV/0!</v>
      </c>
    </row>
    <row r="328" spans="1:31" ht="13.15" customHeight="1">
      <c r="A328" s="232"/>
      <c r="B328" s="251" t="s">
        <v>42</v>
      </c>
      <c r="C328" s="274"/>
      <c r="D328" s="236"/>
      <c r="E328" s="137"/>
      <c r="F328" s="137"/>
      <c r="G328" s="441"/>
      <c r="H328" s="441"/>
      <c r="I328" s="613"/>
      <c r="J328" s="531" t="e">
        <f t="shared" si="189"/>
        <v>#DIV/0!</v>
      </c>
    </row>
    <row r="329" spans="1:31" ht="13.15" customHeight="1">
      <c r="A329" s="1000" t="s">
        <v>419</v>
      </c>
      <c r="B329" s="1001"/>
      <c r="C329" s="1001"/>
      <c r="D329" s="236">
        <v>57</v>
      </c>
      <c r="E329" s="137">
        <f t="shared" ref="E329" si="192">E330+E331</f>
        <v>696000</v>
      </c>
      <c r="F329" s="137">
        <f t="shared" ref="F329:H329" si="193">F330+F331</f>
        <v>501000</v>
      </c>
      <c r="G329" s="441">
        <f t="shared" si="193"/>
        <v>290238</v>
      </c>
      <c r="H329" s="441">
        <f t="shared" si="193"/>
        <v>262597.40000000002</v>
      </c>
      <c r="I329" s="613">
        <f>H329/F329</f>
        <v>0.52414650698602794</v>
      </c>
      <c r="J329" s="531" t="e">
        <f t="shared" si="189"/>
        <v>#DIV/0!</v>
      </c>
    </row>
    <row r="330" spans="1:31" ht="13.15" customHeight="1">
      <c r="A330" s="1000" t="s">
        <v>443</v>
      </c>
      <c r="B330" s="1001"/>
      <c r="C330" s="1001"/>
      <c r="D330" s="236" t="s">
        <v>417</v>
      </c>
      <c r="E330" s="399">
        <v>694000</v>
      </c>
      <c r="F330" s="399">
        <v>500000</v>
      </c>
      <c r="G330" s="441">
        <v>290238</v>
      </c>
      <c r="H330" s="441">
        <v>262597.40000000002</v>
      </c>
      <c r="I330" s="613">
        <f>H330/F330</f>
        <v>0.52519480000000007</v>
      </c>
      <c r="J330" s="531">
        <f t="shared" si="189"/>
        <v>1</v>
      </c>
    </row>
    <row r="331" spans="1:31" ht="13.15" customHeight="1">
      <c r="A331" s="983" t="s">
        <v>442</v>
      </c>
      <c r="B331" s="971"/>
      <c r="C331" s="971"/>
      <c r="D331" s="236" t="s">
        <v>415</v>
      </c>
      <c r="E331" s="137">
        <v>2000</v>
      </c>
      <c r="F331" s="137">
        <v>1000</v>
      </c>
      <c r="G331" s="441"/>
      <c r="H331" s="441"/>
      <c r="I331" s="613">
        <f>H331/F331</f>
        <v>0</v>
      </c>
      <c r="J331" s="531">
        <f t="shared" si="189"/>
        <v>0</v>
      </c>
    </row>
    <row r="332" spans="1:31" ht="13.15" customHeight="1">
      <c r="A332" s="1028" t="s">
        <v>573</v>
      </c>
      <c r="B332" s="1029"/>
      <c r="C332" s="1030"/>
      <c r="D332" s="236">
        <v>59</v>
      </c>
      <c r="E332" s="137">
        <v>416000</v>
      </c>
      <c r="F332" s="137">
        <f>99000+99000</f>
        <v>198000</v>
      </c>
      <c r="G332" s="441">
        <v>136500</v>
      </c>
      <c r="H332" s="441">
        <v>136500</v>
      </c>
      <c r="I332" s="613">
        <f>H332/F332</f>
        <v>0.68939393939393945</v>
      </c>
      <c r="J332" s="531" t="e">
        <f t="shared" si="189"/>
        <v>#DIV/0!</v>
      </c>
    </row>
    <row r="333" spans="1:31" ht="14.25" customHeight="1">
      <c r="A333" s="983" t="s">
        <v>31</v>
      </c>
      <c r="B333" s="971"/>
      <c r="C333" s="971"/>
      <c r="D333" s="236">
        <v>70</v>
      </c>
      <c r="E333" s="137"/>
      <c r="F333" s="137"/>
      <c r="G333" s="229"/>
      <c r="H333" s="229"/>
      <c r="I333" s="613"/>
      <c r="J333" s="531">
        <f t="shared" si="189"/>
        <v>0</v>
      </c>
    </row>
    <row r="334" spans="1:31" ht="11.45" customHeight="1">
      <c r="A334" s="153"/>
      <c r="B334" s="252" t="s">
        <v>17</v>
      </c>
      <c r="C334" s="144"/>
      <c r="D334" s="236"/>
      <c r="E334" s="137"/>
      <c r="F334" s="137"/>
      <c r="G334" s="229"/>
      <c r="H334" s="229"/>
      <c r="I334" s="613"/>
      <c r="J334" s="531" t="e">
        <f t="shared" si="189"/>
        <v>#DIV/0!</v>
      </c>
    </row>
    <row r="335" spans="1:31" ht="14.25" customHeight="1">
      <c r="A335" s="153"/>
      <c r="B335" s="252" t="s">
        <v>16</v>
      </c>
      <c r="C335" s="144"/>
      <c r="D335" s="236"/>
      <c r="E335" s="15"/>
      <c r="F335" s="15"/>
      <c r="G335" s="94"/>
      <c r="H335" s="94"/>
      <c r="I335" s="613"/>
      <c r="J335" s="531" t="e">
        <f t="shared" si="189"/>
        <v>#DIV/0!</v>
      </c>
    </row>
    <row r="336" spans="1:31" ht="40.5" customHeight="1">
      <c r="A336" s="811" t="s">
        <v>390</v>
      </c>
      <c r="B336" s="812"/>
      <c r="C336" s="813"/>
      <c r="D336" s="143" t="s">
        <v>389</v>
      </c>
      <c r="E336" s="137"/>
      <c r="F336" s="137"/>
      <c r="G336" s="229"/>
      <c r="H336" s="229">
        <v>-1526.18</v>
      </c>
      <c r="I336" s="613"/>
      <c r="J336" s="531" t="e">
        <f t="shared" si="189"/>
        <v>#DIV/0!</v>
      </c>
    </row>
    <row r="337" spans="1:31" s="297" customFormat="1" ht="16.149999999999999" customHeight="1">
      <c r="A337" s="957" t="s">
        <v>572</v>
      </c>
      <c r="B337" s="958"/>
      <c r="C337" s="959"/>
      <c r="D337" s="268" t="s">
        <v>73</v>
      </c>
      <c r="E337" s="241">
        <f t="shared" ref="E337" si="194">E338+E339+E345+E341+E340+E349</f>
        <v>632000</v>
      </c>
      <c r="F337" s="241">
        <f t="shared" ref="F337:H337" si="195">F338+F339+F345+F341+F340+F349</f>
        <v>444000</v>
      </c>
      <c r="G337" s="299">
        <f t="shared" si="195"/>
        <v>280663</v>
      </c>
      <c r="H337" s="299">
        <f t="shared" si="195"/>
        <v>273327.65000000002</v>
      </c>
      <c r="I337" s="613">
        <f>H337/F337</f>
        <v>0.61560281531531535</v>
      </c>
      <c r="J337" s="531">
        <f t="shared" si="189"/>
        <v>-179.09266927885309</v>
      </c>
      <c r="K337" s="423"/>
      <c r="L337" s="423"/>
      <c r="M337" s="491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  <c r="AA337" s="298"/>
      <c r="AB337" s="298"/>
      <c r="AC337" s="298"/>
      <c r="AD337" s="298"/>
      <c r="AE337" s="298"/>
    </row>
    <row r="338" spans="1:31" ht="15" customHeight="1">
      <c r="A338" s="960" t="s">
        <v>58</v>
      </c>
      <c r="B338" s="961"/>
      <c r="C338" s="962"/>
      <c r="D338" s="236">
        <v>10</v>
      </c>
      <c r="E338" s="137">
        <f>72000+34000</f>
        <v>106000</v>
      </c>
      <c r="F338" s="137">
        <v>57000</v>
      </c>
      <c r="G338" s="441">
        <v>40724</v>
      </c>
      <c r="H338" s="441">
        <v>40674</v>
      </c>
      <c r="I338" s="613">
        <f>H338/F338</f>
        <v>0.71357894736842109</v>
      </c>
      <c r="J338" s="531">
        <f t="shared" si="189"/>
        <v>0.14881041124086786</v>
      </c>
    </row>
    <row r="339" spans="1:31" ht="12.6" customHeight="1">
      <c r="A339" s="960" t="s">
        <v>57</v>
      </c>
      <c r="B339" s="961"/>
      <c r="C339" s="962"/>
      <c r="D339" s="236">
        <v>20</v>
      </c>
      <c r="E339" s="137">
        <v>341000</v>
      </c>
      <c r="F339" s="137">
        <v>202000</v>
      </c>
      <c r="G339" s="441">
        <v>75087</v>
      </c>
      <c r="H339" s="441">
        <v>67851.25</v>
      </c>
      <c r="I339" s="613">
        <f>H339/F339</f>
        <v>0.33589727722772278</v>
      </c>
      <c r="J339" s="531">
        <f t="shared" si="189"/>
        <v>1.6681725426562424</v>
      </c>
    </row>
    <row r="340" spans="1:31" ht="12.6" customHeight="1">
      <c r="A340" s="1033" t="s">
        <v>413</v>
      </c>
      <c r="B340" s="1034"/>
      <c r="C340" s="1035"/>
      <c r="D340" s="236">
        <v>59</v>
      </c>
      <c r="E340" s="137"/>
      <c r="F340" s="137"/>
      <c r="G340" s="441"/>
      <c r="H340" s="441"/>
      <c r="I340" s="613"/>
      <c r="J340" s="531">
        <f t="shared" si="189"/>
        <v>0</v>
      </c>
    </row>
    <row r="341" spans="1:31" ht="12.75" customHeight="1">
      <c r="A341" s="979" t="s">
        <v>56</v>
      </c>
      <c r="B341" s="980"/>
      <c r="C341" s="980"/>
      <c r="D341" s="147">
        <v>58</v>
      </c>
      <c r="E341" s="137">
        <f t="shared" ref="E341" si="196">E342+E343+E344</f>
        <v>185000</v>
      </c>
      <c r="F341" s="137">
        <f t="shared" ref="F341:H341" si="197">F342+F343+F344</f>
        <v>185000</v>
      </c>
      <c r="G341" s="441">
        <f t="shared" si="197"/>
        <v>164852</v>
      </c>
      <c r="H341" s="441">
        <f t="shared" si="197"/>
        <v>164802.4</v>
      </c>
      <c r="I341" s="613">
        <f>H341/F341</f>
        <v>0.8908237837837838</v>
      </c>
      <c r="J341" s="531" t="e">
        <f t="shared" si="189"/>
        <v>#DIV/0!</v>
      </c>
    </row>
    <row r="342" spans="1:31" ht="13.9" customHeight="1">
      <c r="A342" s="153"/>
      <c r="B342" s="252" t="s">
        <v>17</v>
      </c>
      <c r="C342" s="144" t="s">
        <v>20</v>
      </c>
      <c r="D342" s="236"/>
      <c r="E342" s="137"/>
      <c r="F342" s="137"/>
      <c r="G342" s="441"/>
      <c r="H342" s="441"/>
      <c r="I342" s="613"/>
      <c r="J342" s="531">
        <f t="shared" si="189"/>
        <v>0</v>
      </c>
    </row>
    <row r="343" spans="1:31" ht="13.15" customHeight="1">
      <c r="A343" s="153"/>
      <c r="B343" s="252" t="s">
        <v>16</v>
      </c>
      <c r="C343" s="144"/>
      <c r="D343" s="236"/>
      <c r="E343" s="15">
        <v>28000</v>
      </c>
      <c r="F343" s="15">
        <v>28000</v>
      </c>
      <c r="G343" s="444">
        <v>24729</v>
      </c>
      <c r="H343" s="444">
        <v>24722.5</v>
      </c>
      <c r="I343" s="613">
        <f>H343/F343</f>
        <v>0.88294642857142858</v>
      </c>
      <c r="J343" s="531" t="e">
        <f t="shared" si="189"/>
        <v>#DIV/0!</v>
      </c>
    </row>
    <row r="344" spans="1:31" ht="13.15" customHeight="1">
      <c r="A344" s="301"/>
      <c r="B344" s="251" t="s">
        <v>42</v>
      </c>
      <c r="C344" s="300"/>
      <c r="D344" s="236"/>
      <c r="E344" s="225">
        <v>157000</v>
      </c>
      <c r="F344" s="225">
        <v>157000</v>
      </c>
      <c r="G344" s="441">
        <v>140123</v>
      </c>
      <c r="H344" s="441">
        <v>140079.9</v>
      </c>
      <c r="I344" s="613">
        <f>H344/F344</f>
        <v>0.89222866242038212</v>
      </c>
      <c r="J344" s="531">
        <f t="shared" si="189"/>
        <v>5.6660895944989376</v>
      </c>
    </row>
    <row r="345" spans="1:31" ht="14.45" customHeight="1">
      <c r="A345" s="803" t="s">
        <v>23</v>
      </c>
      <c r="B345" s="804"/>
      <c r="C345" s="805"/>
      <c r="D345" s="147">
        <v>70</v>
      </c>
      <c r="E345" s="137"/>
      <c r="F345" s="137"/>
      <c r="G345" s="441"/>
      <c r="H345" s="441"/>
      <c r="I345" s="613"/>
      <c r="J345" s="531">
        <f t="shared" si="189"/>
        <v>0</v>
      </c>
    </row>
    <row r="346" spans="1:31" ht="14.45" customHeight="1">
      <c r="A346" s="560"/>
      <c r="B346" s="561"/>
      <c r="C346" s="543"/>
      <c r="D346" s="147"/>
      <c r="E346" s="137"/>
      <c r="F346" s="137"/>
      <c r="G346" s="229"/>
      <c r="H346" s="229"/>
      <c r="I346" s="613"/>
      <c r="J346" s="531" t="e">
        <f t="shared" si="189"/>
        <v>#DIV/0!</v>
      </c>
    </row>
    <row r="347" spans="1:31" ht="13.9" customHeight="1">
      <c r="A347" s="153"/>
      <c r="B347" s="252" t="s">
        <v>17</v>
      </c>
      <c r="C347" s="144"/>
      <c r="D347" s="236"/>
      <c r="E347" s="137"/>
      <c r="F347" s="137"/>
      <c r="G347" s="229"/>
      <c r="H347" s="229"/>
      <c r="I347" s="613"/>
      <c r="J347" s="531" t="e">
        <f t="shared" si="189"/>
        <v>#DIV/0!</v>
      </c>
    </row>
    <row r="348" spans="1:31" ht="13.15" customHeight="1">
      <c r="A348" s="153"/>
      <c r="B348" s="252" t="s">
        <v>16</v>
      </c>
      <c r="C348" s="144"/>
      <c r="D348" s="236"/>
      <c r="E348" s="15"/>
      <c r="F348" s="15"/>
      <c r="G348" s="94"/>
      <c r="H348" s="94"/>
      <c r="I348" s="613"/>
      <c r="J348" s="531" t="e">
        <f t="shared" si="189"/>
        <v>#DIV/0!</v>
      </c>
    </row>
    <row r="349" spans="1:31" ht="26.25" customHeight="1">
      <c r="A349" s="811" t="s">
        <v>390</v>
      </c>
      <c r="B349" s="812"/>
      <c r="C349" s="813"/>
      <c r="D349" s="143">
        <v>85.01</v>
      </c>
      <c r="E349" s="399">
        <f t="shared" ref="E349" si="198">E350+E351</f>
        <v>0</v>
      </c>
      <c r="F349" s="399">
        <f t="shared" ref="F349:H349" si="199">F350+F351</f>
        <v>0</v>
      </c>
      <c r="G349" s="439">
        <f t="shared" si="199"/>
        <v>0</v>
      </c>
      <c r="H349" s="439">
        <f t="shared" si="199"/>
        <v>0</v>
      </c>
      <c r="I349" s="613"/>
      <c r="J349" s="531" t="e">
        <f t="shared" si="189"/>
        <v>#DIV/0!</v>
      </c>
    </row>
    <row r="350" spans="1:31">
      <c r="A350" s="553"/>
      <c r="B350" s="554"/>
      <c r="C350" s="555" t="s">
        <v>664</v>
      </c>
      <c r="D350" s="143" t="s">
        <v>389</v>
      </c>
      <c r="E350" s="408"/>
      <c r="F350" s="408"/>
      <c r="G350" s="452"/>
      <c r="H350" s="452"/>
      <c r="I350" s="613"/>
      <c r="J350" s="531" t="e">
        <f t="shared" si="189"/>
        <v>#DIV/0!</v>
      </c>
    </row>
    <row r="351" spans="1:31">
      <c r="A351" s="553"/>
      <c r="B351" s="554"/>
      <c r="C351" s="555" t="s">
        <v>665</v>
      </c>
      <c r="D351" s="143" t="s">
        <v>13</v>
      </c>
      <c r="E351" s="408"/>
      <c r="F351" s="408"/>
      <c r="G351" s="452"/>
      <c r="H351" s="452"/>
      <c r="I351" s="613"/>
      <c r="J351" s="531" t="e">
        <f t="shared" si="189"/>
        <v>#DIV/0!</v>
      </c>
    </row>
    <row r="352" spans="1:31" s="297" customFormat="1" ht="16.149999999999999" customHeight="1">
      <c r="A352" s="957" t="s">
        <v>699</v>
      </c>
      <c r="B352" s="958"/>
      <c r="C352" s="959"/>
      <c r="D352" s="268" t="s">
        <v>73</v>
      </c>
      <c r="E352" s="299">
        <f t="shared" ref="E352" si="200">E354+E353</f>
        <v>460000</v>
      </c>
      <c r="F352" s="299">
        <f t="shared" ref="F352:H352" si="201">F354+F353</f>
        <v>0</v>
      </c>
      <c r="G352" s="299">
        <f t="shared" si="201"/>
        <v>0</v>
      </c>
      <c r="H352" s="299">
        <f t="shared" si="201"/>
        <v>0</v>
      </c>
      <c r="I352" s="613"/>
      <c r="J352" s="531" t="e">
        <f t="shared" si="189"/>
        <v>#DIV/0!</v>
      </c>
      <c r="K352" s="298"/>
      <c r="L352" s="298"/>
      <c r="M352" s="491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  <c r="AA352" s="298"/>
      <c r="AB352" s="298"/>
      <c r="AC352" s="298"/>
      <c r="AD352" s="298"/>
      <c r="AE352" s="298"/>
    </row>
    <row r="353" spans="1:31" ht="15" customHeight="1">
      <c r="A353" s="960" t="s">
        <v>57</v>
      </c>
      <c r="B353" s="961"/>
      <c r="C353" s="962"/>
      <c r="D353" s="236">
        <v>20</v>
      </c>
      <c r="E353" s="137">
        <v>460000</v>
      </c>
      <c r="F353" s="137"/>
      <c r="G353" s="229"/>
      <c r="H353" s="229"/>
      <c r="I353" s="613"/>
      <c r="J353" s="531" t="e">
        <f t="shared" si="189"/>
        <v>#DIV/0!</v>
      </c>
      <c r="M353" s="491"/>
    </row>
    <row r="354" spans="1:31" ht="13.9" hidden="1" customHeight="1">
      <c r="A354" s="960" t="s">
        <v>57</v>
      </c>
      <c r="B354" s="961"/>
      <c r="C354" s="962"/>
      <c r="D354" s="236">
        <v>20</v>
      </c>
      <c r="E354" s="229"/>
      <c r="F354" s="229"/>
      <c r="G354" s="229"/>
      <c r="H354" s="229"/>
      <c r="I354" s="613" t="e">
        <f>H354/F354</f>
        <v>#DIV/0!</v>
      </c>
      <c r="J354" s="531" t="e">
        <f t="shared" si="189"/>
        <v>#DIV/0!</v>
      </c>
    </row>
    <row r="355" spans="1:31" s="297" customFormat="1">
      <c r="A355" s="1016" t="s">
        <v>571</v>
      </c>
      <c r="B355" s="1017"/>
      <c r="C355" s="1018"/>
      <c r="D355" s="268" t="s">
        <v>73</v>
      </c>
      <c r="E355" s="241">
        <f t="shared" ref="E355:H355" si="202">E356</f>
        <v>1549000</v>
      </c>
      <c r="F355" s="241">
        <f t="shared" si="202"/>
        <v>842000</v>
      </c>
      <c r="G355" s="299">
        <f t="shared" si="202"/>
        <v>436739</v>
      </c>
      <c r="H355" s="299">
        <f t="shared" si="202"/>
        <v>436739</v>
      </c>
      <c r="I355" s="613">
        <f>H355/F355</f>
        <v>0.51869239904988118</v>
      </c>
      <c r="J355" s="531" t="e">
        <f t="shared" si="189"/>
        <v>#DIV/0!</v>
      </c>
      <c r="K355" s="298"/>
      <c r="L355" s="298"/>
      <c r="M355" s="491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  <c r="AA355" s="298"/>
      <c r="AB355" s="298"/>
      <c r="AC355" s="298"/>
      <c r="AD355" s="298"/>
      <c r="AE355" s="298"/>
    </row>
    <row r="356" spans="1:31" ht="15" customHeight="1">
      <c r="A356" s="960" t="s">
        <v>438</v>
      </c>
      <c r="B356" s="961"/>
      <c r="C356" s="962"/>
      <c r="D356" s="236">
        <v>51</v>
      </c>
      <c r="E356" s="137">
        <f t="shared" ref="E356" si="203">E357+E362</f>
        <v>1549000</v>
      </c>
      <c r="F356" s="137">
        <f t="shared" ref="F356:H356" si="204">F357+F362</f>
        <v>842000</v>
      </c>
      <c r="G356" s="229">
        <f t="shared" si="204"/>
        <v>436739</v>
      </c>
      <c r="H356" s="229">
        <f t="shared" si="204"/>
        <v>436739</v>
      </c>
      <c r="I356" s="613">
        <f>H356/F356</f>
        <v>0.51869239904988118</v>
      </c>
      <c r="J356" s="531">
        <f t="shared" si="189"/>
        <v>1</v>
      </c>
    </row>
    <row r="357" spans="1:31" ht="13.9" customHeight="1">
      <c r="A357" s="263"/>
      <c r="B357" s="984" t="s">
        <v>570</v>
      </c>
      <c r="C357" s="964"/>
      <c r="D357" s="277" t="s">
        <v>399</v>
      </c>
      <c r="E357" s="137">
        <f t="shared" ref="E357" si="205">E358+E359+E360+E361</f>
        <v>1447000</v>
      </c>
      <c r="F357" s="137">
        <f t="shared" ref="F357:H357" si="206">F358+F359+F360+F361</f>
        <v>752000</v>
      </c>
      <c r="G357" s="229">
        <f t="shared" si="206"/>
        <v>436739</v>
      </c>
      <c r="H357" s="229">
        <f t="shared" si="206"/>
        <v>436739</v>
      </c>
      <c r="I357" s="613">
        <f>H357/F357</f>
        <v>0.58076994680851068</v>
      </c>
      <c r="J357" s="531">
        <f t="shared" si="189"/>
        <v>1</v>
      </c>
    </row>
    <row r="358" spans="1:31" ht="14.45" customHeight="1">
      <c r="A358" s="285"/>
      <c r="B358" s="562"/>
      <c r="C358" s="559" t="s">
        <v>569</v>
      </c>
      <c r="D358" s="277"/>
      <c r="E358" s="406"/>
      <c r="F358" s="406"/>
      <c r="G358" s="407"/>
      <c r="H358" s="407"/>
      <c r="I358" s="613"/>
      <c r="J358" s="531">
        <f t="shared" si="189"/>
        <v>0</v>
      </c>
    </row>
    <row r="359" spans="1:31" ht="14.45" customHeight="1">
      <c r="A359" s="285"/>
      <c r="B359" s="562"/>
      <c r="C359" s="559" t="s">
        <v>568</v>
      </c>
      <c r="D359" s="277"/>
      <c r="E359" s="137">
        <v>1070000</v>
      </c>
      <c r="F359" s="137">
        <f>100000+460000</f>
        <v>560000</v>
      </c>
      <c r="G359" s="515">
        <f>226822.4+40864.4</f>
        <v>267686.8</v>
      </c>
      <c r="H359" s="515">
        <v>267686.8</v>
      </c>
      <c r="I359" s="613">
        <f>H359/F359</f>
        <v>0.47801214285714283</v>
      </c>
      <c r="J359" s="531" t="e">
        <f t="shared" si="189"/>
        <v>#DIV/0!</v>
      </c>
    </row>
    <row r="360" spans="1:31" ht="15" customHeight="1">
      <c r="A360" s="285"/>
      <c r="B360" s="562"/>
      <c r="C360" s="559" t="s">
        <v>567</v>
      </c>
      <c r="D360" s="277"/>
      <c r="E360" s="137">
        <v>242000</v>
      </c>
      <c r="F360" s="137">
        <f>39000+83000</f>
        <v>122000</v>
      </c>
      <c r="G360" s="441">
        <f>103761.6+14790.6</f>
        <v>118552.20000000001</v>
      </c>
      <c r="H360" s="441">
        <v>118552.2</v>
      </c>
      <c r="I360" s="613">
        <f>H360/F360</f>
        <v>0.97173934426229502</v>
      </c>
      <c r="J360" s="531">
        <f t="shared" si="189"/>
        <v>0.44287652585035947</v>
      </c>
    </row>
    <row r="361" spans="1:31" ht="15" customHeight="1">
      <c r="A361" s="285"/>
      <c r="B361" s="562"/>
      <c r="C361" s="539" t="s">
        <v>566</v>
      </c>
      <c r="D361" s="277"/>
      <c r="E361" s="137">
        <v>135000</v>
      </c>
      <c r="F361" s="137">
        <f>19000+51000</f>
        <v>70000</v>
      </c>
      <c r="G361" s="441">
        <f>42000+8500</f>
        <v>50500</v>
      </c>
      <c r="H361" s="441">
        <v>50500</v>
      </c>
      <c r="I361" s="613">
        <f>H361/F361</f>
        <v>0.72142857142857142</v>
      </c>
      <c r="J361" s="531">
        <f t="shared" si="189"/>
        <v>0.42597269388505654</v>
      </c>
    </row>
    <row r="362" spans="1:31" ht="15" customHeight="1">
      <c r="A362" s="285"/>
      <c r="B362" s="984" t="s">
        <v>557</v>
      </c>
      <c r="C362" s="964"/>
      <c r="D362" s="277" t="s">
        <v>708</v>
      </c>
      <c r="E362" s="137">
        <f t="shared" ref="E362" si="207">E363+E364</f>
        <v>102000</v>
      </c>
      <c r="F362" s="137">
        <f t="shared" ref="F362:H362" si="208">F363+F364</f>
        <v>90000</v>
      </c>
      <c r="G362" s="229">
        <f t="shared" si="208"/>
        <v>0</v>
      </c>
      <c r="H362" s="229">
        <f t="shared" si="208"/>
        <v>0</v>
      </c>
      <c r="I362" s="613">
        <f>H362/F362</f>
        <v>0</v>
      </c>
      <c r="J362" s="531">
        <f t="shared" si="189"/>
        <v>0</v>
      </c>
    </row>
    <row r="363" spans="1:31" ht="15" customHeight="1">
      <c r="A363" s="285"/>
      <c r="B363" s="281" t="s">
        <v>550</v>
      </c>
      <c r="C363" s="287" t="s">
        <v>17</v>
      </c>
      <c r="D363" s="277"/>
      <c r="E363" s="406"/>
      <c r="F363" s="406"/>
      <c r="G363" s="407"/>
      <c r="H363" s="407"/>
      <c r="I363" s="613"/>
      <c r="J363" s="531" t="e">
        <f t="shared" si="189"/>
        <v>#DIV/0!</v>
      </c>
    </row>
    <row r="364" spans="1:31" ht="15" customHeight="1">
      <c r="A364" s="285"/>
      <c r="B364" s="549"/>
      <c r="C364" s="252" t="s">
        <v>16</v>
      </c>
      <c r="D364" s="277"/>
      <c r="E364" s="137">
        <v>102000</v>
      </c>
      <c r="F364" s="137">
        <v>90000</v>
      </c>
      <c r="G364" s="229"/>
      <c r="H364" s="229"/>
      <c r="I364" s="613">
        <f t="shared" ref="I364:I370" si="209">H364/F364</f>
        <v>0</v>
      </c>
      <c r="J364" s="531" t="e">
        <f t="shared" si="189"/>
        <v>#DIV/0!</v>
      </c>
    </row>
    <row r="365" spans="1:31" s="297" customFormat="1" ht="14.45" hidden="1" customHeight="1">
      <c r="A365" s="957" t="s">
        <v>565</v>
      </c>
      <c r="B365" s="958"/>
      <c r="C365" s="959"/>
      <c r="D365" s="268" t="s">
        <v>73</v>
      </c>
      <c r="E365" s="241"/>
      <c r="F365" s="241"/>
      <c r="G365" s="299"/>
      <c r="H365" s="299"/>
      <c r="I365" s="613" t="e">
        <f t="shared" si="209"/>
        <v>#DIV/0!</v>
      </c>
      <c r="J365" s="531" t="e">
        <f t="shared" si="189"/>
        <v>#DIV/0!</v>
      </c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  <c r="AA365" s="298"/>
      <c r="AB365" s="298"/>
      <c r="AC365" s="298"/>
      <c r="AD365" s="298"/>
      <c r="AE365" s="298"/>
    </row>
    <row r="366" spans="1:31" ht="14.45" hidden="1" customHeight="1">
      <c r="A366" s="960" t="s">
        <v>438</v>
      </c>
      <c r="B366" s="961"/>
      <c r="C366" s="962"/>
      <c r="D366" s="236">
        <v>51</v>
      </c>
      <c r="E366" s="137"/>
      <c r="F366" s="137"/>
      <c r="G366" s="229"/>
      <c r="H366" s="229"/>
      <c r="I366" s="613" t="e">
        <f t="shared" si="209"/>
        <v>#DIV/0!</v>
      </c>
      <c r="J366" s="531" t="e">
        <f t="shared" si="189"/>
        <v>#DIV/0!</v>
      </c>
    </row>
    <row r="367" spans="1:31" ht="13.9" hidden="1" customHeight="1">
      <c r="A367" s="263"/>
      <c r="B367" s="984" t="s">
        <v>564</v>
      </c>
      <c r="C367" s="964"/>
      <c r="D367" s="277" t="s">
        <v>561</v>
      </c>
      <c r="E367" s="137"/>
      <c r="F367" s="137"/>
      <c r="G367" s="229"/>
      <c r="H367" s="229"/>
      <c r="I367" s="613" t="e">
        <f t="shared" si="209"/>
        <v>#DIV/0!</v>
      </c>
      <c r="J367" s="531" t="e">
        <f t="shared" si="189"/>
        <v>#DIV/0!</v>
      </c>
    </row>
    <row r="368" spans="1:31" s="297" customFormat="1" ht="13.9" hidden="1" customHeight="1">
      <c r="A368" s="957" t="s">
        <v>563</v>
      </c>
      <c r="B368" s="958"/>
      <c r="C368" s="959"/>
      <c r="D368" s="268" t="s">
        <v>73</v>
      </c>
      <c r="E368" s="241"/>
      <c r="F368" s="241"/>
      <c r="G368" s="299"/>
      <c r="H368" s="299"/>
      <c r="I368" s="613" t="e">
        <f t="shared" si="209"/>
        <v>#DIV/0!</v>
      </c>
      <c r="J368" s="531" t="e">
        <f t="shared" si="189"/>
        <v>#DIV/0!</v>
      </c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  <c r="AA368" s="298"/>
      <c r="AB368" s="298"/>
      <c r="AC368" s="298"/>
      <c r="AD368" s="298"/>
      <c r="AE368" s="298"/>
    </row>
    <row r="369" spans="1:113" s="295" customFormat="1" ht="15" hidden="1" customHeight="1">
      <c r="A369" s="960" t="s">
        <v>438</v>
      </c>
      <c r="B369" s="961"/>
      <c r="C369" s="962"/>
      <c r="D369" s="236">
        <v>51</v>
      </c>
      <c r="E369" s="137"/>
      <c r="F369" s="137"/>
      <c r="G369" s="229"/>
      <c r="H369" s="229"/>
      <c r="I369" s="613" t="e">
        <f t="shared" si="209"/>
        <v>#DIV/0!</v>
      </c>
      <c r="J369" s="531" t="e">
        <f t="shared" si="189"/>
        <v>#DIV/0!</v>
      </c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  <c r="X369" s="296"/>
      <c r="Y369" s="296"/>
      <c r="Z369" s="296"/>
      <c r="AA369" s="296"/>
      <c r="AB369" s="296"/>
      <c r="AC369" s="296"/>
      <c r="AD369" s="296"/>
      <c r="AE369" s="296"/>
    </row>
    <row r="370" spans="1:113" ht="14.45" hidden="1" customHeight="1">
      <c r="A370" s="263"/>
      <c r="B370" s="984" t="s">
        <v>562</v>
      </c>
      <c r="C370" s="964"/>
      <c r="D370" s="277" t="s">
        <v>561</v>
      </c>
      <c r="E370" s="137"/>
      <c r="F370" s="137"/>
      <c r="G370" s="229"/>
      <c r="H370" s="229"/>
      <c r="I370" s="613" t="e">
        <f t="shared" si="209"/>
        <v>#DIV/0!</v>
      </c>
      <c r="J370" s="531" t="e">
        <f t="shared" si="189"/>
        <v>#DIV/0!</v>
      </c>
    </row>
    <row r="371" spans="1:113" ht="15.6" customHeight="1">
      <c r="A371" s="957" t="s">
        <v>661</v>
      </c>
      <c r="B371" s="958"/>
      <c r="C371" s="959"/>
      <c r="D371" s="268" t="s">
        <v>73</v>
      </c>
      <c r="E371" s="241">
        <f t="shared" ref="E371" si="210">E372+E374+E375</f>
        <v>123000</v>
      </c>
      <c r="F371" s="241">
        <f t="shared" ref="F371:H371" si="211">F372+F374+F375</f>
        <v>77000</v>
      </c>
      <c r="G371" s="299">
        <f t="shared" si="211"/>
        <v>77000</v>
      </c>
      <c r="H371" s="299">
        <f t="shared" si="211"/>
        <v>76332.5</v>
      </c>
      <c r="I371" s="613"/>
      <c r="J371" s="531" t="e">
        <f t="shared" si="189"/>
        <v>#DIV/0!</v>
      </c>
      <c r="M371" s="491"/>
    </row>
    <row r="372" spans="1:113" ht="15" customHeight="1">
      <c r="A372" s="826" t="s">
        <v>413</v>
      </c>
      <c r="B372" s="827"/>
      <c r="C372" s="828"/>
      <c r="D372" s="277">
        <v>59</v>
      </c>
      <c r="E372" s="137">
        <f t="shared" ref="E372:H372" si="212">E373</f>
        <v>0</v>
      </c>
      <c r="F372" s="137">
        <f t="shared" si="212"/>
        <v>0</v>
      </c>
      <c r="G372" s="137">
        <f t="shared" si="212"/>
        <v>0</v>
      </c>
      <c r="H372" s="137">
        <f t="shared" si="212"/>
        <v>0</v>
      </c>
      <c r="I372" s="613"/>
      <c r="J372" s="531">
        <f t="shared" si="189"/>
        <v>0</v>
      </c>
    </row>
    <row r="373" spans="1:113" ht="15" customHeight="1">
      <c r="A373" s="1028" t="s">
        <v>662</v>
      </c>
      <c r="B373" s="1029"/>
      <c r="C373" s="1030"/>
      <c r="D373" s="401" t="s">
        <v>687</v>
      </c>
      <c r="E373" s="137"/>
      <c r="F373" s="137"/>
      <c r="G373" s="229"/>
      <c r="H373" s="229"/>
      <c r="I373" s="613"/>
      <c r="J373" s="531" t="e">
        <f t="shared" si="189"/>
        <v>#DIV/0!</v>
      </c>
    </row>
    <row r="374" spans="1:113" ht="15" customHeight="1">
      <c r="A374" s="1028" t="s">
        <v>668</v>
      </c>
      <c r="B374" s="1029"/>
      <c r="C374" s="1030"/>
      <c r="D374" s="401" t="s">
        <v>669</v>
      </c>
      <c r="E374" s="137">
        <f>92000+31000</f>
        <v>123000</v>
      </c>
      <c r="F374" s="137">
        <f>23000+23000+31000</f>
        <v>77000</v>
      </c>
      <c r="G374" s="504">
        <v>77000</v>
      </c>
      <c r="H374" s="441">
        <v>76332.5</v>
      </c>
      <c r="I374" s="613"/>
      <c r="J374" s="531" t="e">
        <f t="shared" si="189"/>
        <v>#DIV/0!</v>
      </c>
    </row>
    <row r="375" spans="1:113" ht="15" customHeight="1">
      <c r="A375" s="1028" t="s">
        <v>673</v>
      </c>
      <c r="B375" s="1029"/>
      <c r="C375" s="1030"/>
      <c r="D375" s="401" t="s">
        <v>669</v>
      </c>
      <c r="E375" s="406"/>
      <c r="F375" s="406"/>
      <c r="G375" s="407"/>
      <c r="H375" s="407"/>
      <c r="I375" s="613"/>
      <c r="J375" s="531">
        <f t="shared" si="189"/>
        <v>0</v>
      </c>
    </row>
    <row r="376" spans="1:113" s="295" customFormat="1" ht="15.6" customHeight="1">
      <c r="A376" s="1031" t="s">
        <v>437</v>
      </c>
      <c r="B376" s="1032"/>
      <c r="C376" s="1032"/>
      <c r="D376" s="270" t="s">
        <v>69</v>
      </c>
      <c r="E376" s="158">
        <f t="shared" ref="E376" si="213">E382+E388+E394</f>
        <v>4463000</v>
      </c>
      <c r="F376" s="158">
        <f t="shared" ref="F376:H376" si="214">F382+F388+F394</f>
        <v>4463000</v>
      </c>
      <c r="G376" s="446">
        <f t="shared" si="214"/>
        <v>72533</v>
      </c>
      <c r="H376" s="446">
        <f t="shared" si="214"/>
        <v>26393.510000000002</v>
      </c>
      <c r="I376" s="613">
        <f>H376/F376</f>
        <v>5.9138494286354471E-3</v>
      </c>
      <c r="J376" s="531" t="e">
        <f t="shared" si="189"/>
        <v>#DIV/0!</v>
      </c>
      <c r="K376" s="296"/>
      <c r="L376" s="296"/>
      <c r="M376" s="493"/>
      <c r="N376" s="493"/>
      <c r="O376" s="296"/>
      <c r="P376" s="296"/>
      <c r="Q376" s="296"/>
      <c r="R376" s="296"/>
      <c r="S376" s="296"/>
      <c r="T376" s="296"/>
      <c r="U376" s="296"/>
      <c r="V376" s="296"/>
      <c r="W376" s="296"/>
      <c r="X376" s="296"/>
      <c r="Y376" s="296"/>
      <c r="Z376" s="296"/>
      <c r="AA376" s="296"/>
      <c r="AB376" s="296"/>
      <c r="AC376" s="296"/>
      <c r="AD376" s="296"/>
      <c r="AE376" s="296"/>
    </row>
    <row r="377" spans="1:113" ht="15.6" customHeight="1">
      <c r="A377" s="960" t="s">
        <v>438</v>
      </c>
      <c r="B377" s="961"/>
      <c r="C377" s="962"/>
      <c r="D377" s="236">
        <v>51</v>
      </c>
      <c r="E377" s="135">
        <f t="shared" ref="E377" si="215">E378+E379</f>
        <v>4463000</v>
      </c>
      <c r="F377" s="135">
        <f t="shared" ref="F377:H377" si="216">F378+F379</f>
        <v>4463000</v>
      </c>
      <c r="G377" s="233">
        <f t="shared" si="216"/>
        <v>72533</v>
      </c>
      <c r="H377" s="233">
        <f t="shared" si="216"/>
        <v>72530.36</v>
      </c>
      <c r="I377" s="613">
        <f>H377/F377</f>
        <v>1.6251481066547165E-2</v>
      </c>
      <c r="J377" s="531">
        <f t="shared" si="189"/>
        <v>2.748037680475238</v>
      </c>
    </row>
    <row r="378" spans="1:113" ht="13.15" customHeight="1">
      <c r="A378" s="263"/>
      <c r="B378" s="984" t="s">
        <v>522</v>
      </c>
      <c r="C378" s="964"/>
      <c r="D378" s="277" t="s">
        <v>399</v>
      </c>
      <c r="E378" s="135">
        <f t="shared" ref="E378" si="217">E383+E389+E395</f>
        <v>971000</v>
      </c>
      <c r="F378" s="135">
        <f t="shared" ref="F378:H381" si="218">F383+F389+F395</f>
        <v>971000</v>
      </c>
      <c r="G378" s="233">
        <f t="shared" si="218"/>
        <v>0</v>
      </c>
      <c r="H378" s="233">
        <f t="shared" si="218"/>
        <v>0</v>
      </c>
      <c r="I378" s="613">
        <f>H378/F378</f>
        <v>0</v>
      </c>
      <c r="J378" s="531">
        <f t="shared" si="189"/>
        <v>0</v>
      </c>
    </row>
    <row r="379" spans="1:113" ht="13.15" customHeight="1">
      <c r="A379" s="263"/>
      <c r="B379" s="984" t="s">
        <v>557</v>
      </c>
      <c r="C379" s="964"/>
      <c r="D379" s="277" t="s">
        <v>39</v>
      </c>
      <c r="E379" s="135">
        <f t="shared" ref="E379" si="219">E384+E390+E396</f>
        <v>3492000</v>
      </c>
      <c r="F379" s="135">
        <f t="shared" si="218"/>
        <v>3492000</v>
      </c>
      <c r="G379" s="233">
        <f t="shared" si="218"/>
        <v>72533</v>
      </c>
      <c r="H379" s="233">
        <f t="shared" si="218"/>
        <v>72530.36</v>
      </c>
      <c r="I379" s="613">
        <f>H379/F379</f>
        <v>2.0770435280641465E-2</v>
      </c>
      <c r="J379" s="531" t="e">
        <f t="shared" si="189"/>
        <v>#DIV/0!</v>
      </c>
    </row>
    <row r="380" spans="1:113" ht="13.9" customHeight="1">
      <c r="A380" s="263"/>
      <c r="B380" s="281" t="s">
        <v>550</v>
      </c>
      <c r="C380" s="287" t="s">
        <v>17</v>
      </c>
      <c r="D380" s="236"/>
      <c r="E380" s="135">
        <f t="shared" ref="E380" si="220">E385+E391+E397</f>
        <v>0</v>
      </c>
      <c r="F380" s="135">
        <f t="shared" ref="F380:H380" si="221">F385+F391+F397</f>
        <v>0</v>
      </c>
      <c r="G380" s="135">
        <f t="shared" si="221"/>
        <v>0</v>
      </c>
      <c r="H380" s="135">
        <f t="shared" si="221"/>
        <v>0</v>
      </c>
      <c r="I380" s="613"/>
      <c r="J380" s="531">
        <f t="shared" si="189"/>
        <v>0</v>
      </c>
    </row>
    <row r="381" spans="1:113" ht="14.45" customHeight="1">
      <c r="A381" s="263"/>
      <c r="B381" s="549"/>
      <c r="C381" s="252" t="s">
        <v>16</v>
      </c>
      <c r="D381" s="236"/>
      <c r="E381" s="15">
        <f t="shared" ref="E381" si="222">E386+E392+E398</f>
        <v>3492000</v>
      </c>
      <c r="F381" s="15">
        <f t="shared" si="218"/>
        <v>3492000</v>
      </c>
      <c r="G381" s="94">
        <f t="shared" si="218"/>
        <v>72533</v>
      </c>
      <c r="H381" s="94">
        <f t="shared" si="218"/>
        <v>72530.36</v>
      </c>
      <c r="I381" s="613">
        <f>H381/F381</f>
        <v>2.0770435280641465E-2</v>
      </c>
      <c r="J381" s="531" t="e">
        <f t="shared" si="189"/>
        <v>#DIV/0!</v>
      </c>
    </row>
    <row r="382" spans="1:113" ht="16.5" customHeight="1">
      <c r="A382" s="1019" t="s">
        <v>560</v>
      </c>
      <c r="B382" s="1020"/>
      <c r="C382" s="1021"/>
      <c r="D382" s="268" t="s">
        <v>73</v>
      </c>
      <c r="E382" s="279">
        <f t="shared" ref="E382" si="223">E383+E384+E387</f>
        <v>4463000</v>
      </c>
      <c r="F382" s="279">
        <f t="shared" ref="F382:H382" si="224">F383+F384+F387</f>
        <v>4463000</v>
      </c>
      <c r="G382" s="453">
        <f t="shared" si="224"/>
        <v>72533</v>
      </c>
      <c r="H382" s="453">
        <f t="shared" si="224"/>
        <v>26393.510000000002</v>
      </c>
      <c r="I382" s="613">
        <f>H382/F382</f>
        <v>5.9138494286354471E-3</v>
      </c>
      <c r="J382" s="531">
        <f t="shared" si="189"/>
        <v>0.36389602919384384</v>
      </c>
      <c r="M382" s="491"/>
    </row>
    <row r="383" spans="1:113" ht="15" customHeight="1">
      <c r="A383" s="263"/>
      <c r="B383" s="984" t="s">
        <v>522</v>
      </c>
      <c r="C383" s="964"/>
      <c r="D383" s="277" t="s">
        <v>399</v>
      </c>
      <c r="E383" s="137">
        <v>971000</v>
      </c>
      <c r="F383" s="137">
        <v>971000</v>
      </c>
      <c r="G383" s="229"/>
      <c r="H383" s="229"/>
      <c r="I383" s="613">
        <f>H383/F383</f>
        <v>0</v>
      </c>
      <c r="J383" s="531">
        <f t="shared" si="189"/>
        <v>0</v>
      </c>
    </row>
    <row r="384" spans="1:113" s="2" customFormat="1" ht="13.9" customHeight="1">
      <c r="A384" s="263"/>
      <c r="B384" s="984" t="s">
        <v>557</v>
      </c>
      <c r="C384" s="964"/>
      <c r="D384" s="277" t="s">
        <v>39</v>
      </c>
      <c r="E384" s="137">
        <f t="shared" ref="E384" si="225">E385+E386</f>
        <v>3492000</v>
      </c>
      <c r="F384" s="137">
        <f t="shared" ref="F384:H384" si="226">F385+F386</f>
        <v>3492000</v>
      </c>
      <c r="G384" s="229">
        <f t="shared" si="226"/>
        <v>72533</v>
      </c>
      <c r="H384" s="229">
        <f t="shared" si="226"/>
        <v>72530.36</v>
      </c>
      <c r="I384" s="613">
        <f>H384/F384</f>
        <v>2.0770435280641465E-2</v>
      </c>
      <c r="J384" s="531" t="e">
        <f t="shared" si="189"/>
        <v>#DIV/0!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</row>
    <row r="385" spans="1:113" s="2" customFormat="1" ht="13.9" customHeight="1">
      <c r="A385" s="551"/>
      <c r="B385" s="281" t="s">
        <v>550</v>
      </c>
      <c r="C385" s="294" t="s">
        <v>559</v>
      </c>
      <c r="D385" s="293"/>
      <c r="E385" s="292">
        <v>0</v>
      </c>
      <c r="F385" s="292"/>
      <c r="G385" s="454"/>
      <c r="H385" s="454"/>
      <c r="I385" s="613"/>
      <c r="J385" s="531">
        <f t="shared" ref="J385:J448" si="227">(H385/H384)</f>
        <v>0</v>
      </c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</row>
    <row r="386" spans="1:113" s="2" customFormat="1" ht="13.9" customHeight="1">
      <c r="A386" s="577"/>
      <c r="B386" s="149"/>
      <c r="C386" s="252" t="s">
        <v>16</v>
      </c>
      <c r="D386" s="176"/>
      <c r="E386" s="15">
        <v>3492000</v>
      </c>
      <c r="F386" s="15">
        <v>3492000</v>
      </c>
      <c r="G386" s="94">
        <v>72533</v>
      </c>
      <c r="H386" s="94">
        <v>72530.36</v>
      </c>
      <c r="I386" s="613">
        <f>H386/F386</f>
        <v>2.0770435280641465E-2</v>
      </c>
      <c r="J386" s="531" t="e">
        <f t="shared" si="227"/>
        <v>#DIV/0!</v>
      </c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</row>
    <row r="387" spans="1:113" s="2" customFormat="1" ht="26.25" customHeight="1">
      <c r="A387" s="811" t="s">
        <v>14</v>
      </c>
      <c r="B387" s="812"/>
      <c r="C387" s="813"/>
      <c r="D387" s="142" t="s">
        <v>13</v>
      </c>
      <c r="E387" s="225"/>
      <c r="F387" s="225"/>
      <c r="G387" s="422"/>
      <c r="H387" s="422">
        <v>-46136.85</v>
      </c>
      <c r="I387" s="613"/>
      <c r="J387" s="531">
        <f t="shared" si="227"/>
        <v>-0.63610397080615622</v>
      </c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</row>
    <row r="388" spans="1:113" s="2" customFormat="1" ht="15.6" hidden="1" customHeight="1">
      <c r="A388" s="1019" t="s">
        <v>558</v>
      </c>
      <c r="B388" s="1020"/>
      <c r="C388" s="1021"/>
      <c r="D388" s="268" t="s">
        <v>73</v>
      </c>
      <c r="E388" s="279"/>
      <c r="F388" s="279"/>
      <c r="G388" s="453"/>
      <c r="H388" s="453"/>
      <c r="I388" s="613" t="e">
        <f t="shared" ref="I388:I405" si="228">H388/F388</f>
        <v>#DIV/0!</v>
      </c>
      <c r="J388" s="531">
        <f t="shared" si="227"/>
        <v>0</v>
      </c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</row>
    <row r="389" spans="1:113" s="2" customFormat="1" ht="13.15" hidden="1" customHeight="1">
      <c r="A389" s="263"/>
      <c r="B389" s="984" t="s">
        <v>431</v>
      </c>
      <c r="C389" s="964"/>
      <c r="D389" s="277" t="s">
        <v>399</v>
      </c>
      <c r="E389" s="137"/>
      <c r="F389" s="137"/>
      <c r="G389" s="229"/>
      <c r="H389" s="229"/>
      <c r="I389" s="613" t="e">
        <f t="shared" si="228"/>
        <v>#DIV/0!</v>
      </c>
      <c r="J389" s="531" t="e">
        <f t="shared" si="227"/>
        <v>#DIV/0!</v>
      </c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</row>
    <row r="390" spans="1:113" s="2" customFormat="1" ht="14.25" hidden="1" customHeight="1">
      <c r="A390" s="263"/>
      <c r="B390" s="984" t="s">
        <v>534</v>
      </c>
      <c r="C390" s="964"/>
      <c r="D390" s="277" t="s">
        <v>39</v>
      </c>
      <c r="E390" s="137"/>
      <c r="F390" s="137"/>
      <c r="G390" s="229"/>
      <c r="H390" s="229"/>
      <c r="I390" s="613" t="e">
        <f t="shared" si="228"/>
        <v>#DIV/0!</v>
      </c>
      <c r="J390" s="531" t="e">
        <f t="shared" si="227"/>
        <v>#DIV/0!</v>
      </c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</row>
    <row r="391" spans="1:113" s="2" customFormat="1" ht="13.9" hidden="1" customHeight="1">
      <c r="A391" s="577"/>
      <c r="B391" s="281" t="s">
        <v>550</v>
      </c>
      <c r="C391" s="252" t="s">
        <v>17</v>
      </c>
      <c r="D391" s="289"/>
      <c r="E391" s="137"/>
      <c r="F391" s="137"/>
      <c r="G391" s="229"/>
      <c r="H391" s="229"/>
      <c r="I391" s="613" t="e">
        <f t="shared" si="228"/>
        <v>#DIV/0!</v>
      </c>
      <c r="J391" s="531" t="e">
        <f t="shared" si="227"/>
        <v>#DIV/0!</v>
      </c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</row>
    <row r="392" spans="1:113" s="2" customFormat="1" ht="13.15" hidden="1" customHeight="1">
      <c r="A392" s="577"/>
      <c r="B392" s="149"/>
      <c r="C392" s="252" t="s">
        <v>16</v>
      </c>
      <c r="D392" s="289"/>
      <c r="E392" s="15"/>
      <c r="F392" s="15"/>
      <c r="G392" s="94"/>
      <c r="H392" s="94"/>
      <c r="I392" s="613" t="e">
        <f t="shared" si="228"/>
        <v>#DIV/0!</v>
      </c>
      <c r="J392" s="531" t="e">
        <f t="shared" si="227"/>
        <v>#DIV/0!</v>
      </c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</row>
    <row r="393" spans="1:113" s="2" customFormat="1" ht="13.15" hidden="1" customHeight="1">
      <c r="A393" s="569"/>
      <c r="B393" s="291"/>
      <c r="C393" s="290"/>
      <c r="D393" s="289"/>
      <c r="E393" s="137"/>
      <c r="F393" s="137"/>
      <c r="G393" s="229"/>
      <c r="H393" s="229"/>
      <c r="I393" s="613" t="e">
        <f t="shared" si="228"/>
        <v>#DIV/0!</v>
      </c>
      <c r="J393" s="531" t="e">
        <f t="shared" si="227"/>
        <v>#DIV/0!</v>
      </c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</row>
    <row r="394" spans="1:113" s="2" customFormat="1" ht="15.6" hidden="1" customHeight="1">
      <c r="A394" s="1025" t="s">
        <v>65</v>
      </c>
      <c r="B394" s="1026"/>
      <c r="C394" s="1027"/>
      <c r="D394" s="268" t="s">
        <v>73</v>
      </c>
      <c r="E394" s="279"/>
      <c r="F394" s="279"/>
      <c r="G394" s="453"/>
      <c r="H394" s="453"/>
      <c r="I394" s="613" t="e">
        <f t="shared" si="228"/>
        <v>#DIV/0!</v>
      </c>
      <c r="J394" s="531" t="e">
        <f t="shared" si="227"/>
        <v>#DIV/0!</v>
      </c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</row>
    <row r="395" spans="1:113" s="2" customFormat="1" ht="15" hidden="1" customHeight="1">
      <c r="A395" s="263"/>
      <c r="B395" s="984" t="s">
        <v>431</v>
      </c>
      <c r="C395" s="964"/>
      <c r="D395" s="277" t="s">
        <v>399</v>
      </c>
      <c r="E395" s="137"/>
      <c r="F395" s="137"/>
      <c r="G395" s="229"/>
      <c r="H395" s="229"/>
      <c r="I395" s="613" t="e">
        <f t="shared" si="228"/>
        <v>#DIV/0!</v>
      </c>
      <c r="J395" s="531" t="e">
        <f t="shared" si="227"/>
        <v>#DIV/0!</v>
      </c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</row>
    <row r="396" spans="1:113" s="2" customFormat="1" ht="15" hidden="1" customHeight="1">
      <c r="A396" s="263"/>
      <c r="B396" s="984" t="s">
        <v>557</v>
      </c>
      <c r="C396" s="964"/>
      <c r="D396" s="277" t="s">
        <v>39</v>
      </c>
      <c r="E396" s="137"/>
      <c r="F396" s="137"/>
      <c r="G396" s="229"/>
      <c r="H396" s="229"/>
      <c r="I396" s="613" t="e">
        <f t="shared" si="228"/>
        <v>#DIV/0!</v>
      </c>
      <c r="J396" s="531" t="e">
        <f t="shared" si="227"/>
        <v>#DIV/0!</v>
      </c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</row>
    <row r="397" spans="1:113" s="2" customFormat="1" ht="13.15" hidden="1" customHeight="1">
      <c r="A397" s="577"/>
      <c r="B397" s="281" t="s">
        <v>550</v>
      </c>
      <c r="C397" s="252" t="s">
        <v>17</v>
      </c>
      <c r="D397" s="289"/>
      <c r="E397" s="137"/>
      <c r="F397" s="137"/>
      <c r="G397" s="229"/>
      <c r="H397" s="229"/>
      <c r="I397" s="613" t="e">
        <f t="shared" si="228"/>
        <v>#DIV/0!</v>
      </c>
      <c r="J397" s="531" t="e">
        <f t="shared" si="227"/>
        <v>#DIV/0!</v>
      </c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</row>
    <row r="398" spans="1:113" s="2" customFormat="1" ht="14.45" hidden="1" customHeight="1">
      <c r="A398" s="577"/>
      <c r="B398" s="149"/>
      <c r="C398" s="252" t="s">
        <v>16</v>
      </c>
      <c r="D398" s="289"/>
      <c r="E398" s="15"/>
      <c r="F398" s="15"/>
      <c r="G398" s="94"/>
      <c r="H398" s="94"/>
      <c r="I398" s="613" t="e">
        <f t="shared" si="228"/>
        <v>#DIV/0!</v>
      </c>
      <c r="J398" s="531" t="e">
        <f t="shared" si="227"/>
        <v>#DIV/0!</v>
      </c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</row>
    <row r="399" spans="1:113" s="2" customFormat="1" ht="14.45" hidden="1" customHeight="1">
      <c r="A399" s="569"/>
      <c r="B399" s="291"/>
      <c r="C399" s="290"/>
      <c r="D399" s="289"/>
      <c r="E399" s="137"/>
      <c r="F399" s="137"/>
      <c r="G399" s="229"/>
      <c r="H399" s="229"/>
      <c r="I399" s="613" t="e">
        <f t="shared" si="228"/>
        <v>#DIV/0!</v>
      </c>
      <c r="J399" s="531" t="e">
        <f t="shared" si="227"/>
        <v>#DIV/0!</v>
      </c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</row>
    <row r="400" spans="1:113" s="237" customFormat="1" ht="17.25" customHeight="1">
      <c r="A400" s="1022" t="s">
        <v>64</v>
      </c>
      <c r="B400" s="1023"/>
      <c r="C400" s="1024"/>
      <c r="D400" s="270" t="s">
        <v>63</v>
      </c>
      <c r="E400" s="158">
        <f t="shared" ref="E400" si="229">E415+E430+E440+E451</f>
        <v>37901000</v>
      </c>
      <c r="F400" s="158">
        <f t="shared" ref="F400:H400" si="230">F415+F430+F440+F451</f>
        <v>21510000</v>
      </c>
      <c r="G400" s="446">
        <f t="shared" si="230"/>
        <v>13719476</v>
      </c>
      <c r="H400" s="446">
        <f t="shared" si="230"/>
        <v>13644452.74</v>
      </c>
      <c r="I400" s="613">
        <f t="shared" si="228"/>
        <v>0.63433067131566712</v>
      </c>
      <c r="J400" s="531" t="e">
        <f t="shared" si="227"/>
        <v>#DIV/0!</v>
      </c>
      <c r="K400" s="238"/>
      <c r="L400" s="238"/>
      <c r="M400" s="491"/>
      <c r="N400" s="491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238"/>
    </row>
    <row r="401" spans="1:31" ht="12" customHeight="1">
      <c r="A401" s="960" t="s">
        <v>58</v>
      </c>
      <c r="B401" s="961"/>
      <c r="C401" s="962"/>
      <c r="D401" s="243">
        <v>10</v>
      </c>
      <c r="E401" s="135">
        <f t="shared" ref="E401" si="231">E416</f>
        <v>2939000</v>
      </c>
      <c r="F401" s="135">
        <f t="shared" ref="F401:H402" si="232">F416</f>
        <v>1483000</v>
      </c>
      <c r="G401" s="233">
        <f t="shared" si="232"/>
        <v>1410868</v>
      </c>
      <c r="H401" s="233">
        <f t="shared" si="232"/>
        <v>1410161</v>
      </c>
      <c r="I401" s="613">
        <f t="shared" si="228"/>
        <v>0.95088401888064733</v>
      </c>
      <c r="J401" s="531">
        <f t="shared" si="227"/>
        <v>0.10335049905416727</v>
      </c>
    </row>
    <row r="402" spans="1:31" ht="13.15" customHeight="1">
      <c r="A402" s="960" t="s">
        <v>57</v>
      </c>
      <c r="B402" s="961"/>
      <c r="C402" s="962"/>
      <c r="D402" s="236">
        <v>20</v>
      </c>
      <c r="E402" s="135">
        <f t="shared" ref="E402" si="233">E417</f>
        <v>1730000</v>
      </c>
      <c r="F402" s="135">
        <f t="shared" si="232"/>
        <v>987000</v>
      </c>
      <c r="G402" s="233">
        <f t="shared" si="232"/>
        <v>605652</v>
      </c>
      <c r="H402" s="233">
        <f t="shared" si="232"/>
        <v>582742.67000000004</v>
      </c>
      <c r="I402" s="613">
        <f t="shared" si="228"/>
        <v>0.59041810536980754</v>
      </c>
      <c r="J402" s="531">
        <f t="shared" si="227"/>
        <v>0.41324548757198648</v>
      </c>
    </row>
    <row r="403" spans="1:31" ht="13.15" customHeight="1">
      <c r="A403" s="960" t="s">
        <v>438</v>
      </c>
      <c r="B403" s="961"/>
      <c r="C403" s="962"/>
      <c r="D403" s="288">
        <v>51</v>
      </c>
      <c r="E403" s="135">
        <f t="shared" ref="E403" si="234">E404+E405</f>
        <v>21538000</v>
      </c>
      <c r="F403" s="135">
        <f t="shared" ref="F403:H403" si="235">F404+F405</f>
        <v>13626000</v>
      </c>
      <c r="G403" s="233">
        <f t="shared" si="235"/>
        <v>6314965</v>
      </c>
      <c r="H403" s="233">
        <f t="shared" si="235"/>
        <v>6314960.0700000003</v>
      </c>
      <c r="I403" s="613">
        <f t="shared" si="228"/>
        <v>0.46344929326287981</v>
      </c>
      <c r="J403" s="531">
        <f t="shared" si="227"/>
        <v>10.836618622761913</v>
      </c>
    </row>
    <row r="404" spans="1:31" ht="13.15" customHeight="1">
      <c r="A404" s="263"/>
      <c r="B404" s="984" t="s">
        <v>431</v>
      </c>
      <c r="C404" s="964"/>
      <c r="D404" s="277" t="s">
        <v>399</v>
      </c>
      <c r="E404" s="135">
        <f t="shared" ref="E404" si="236">E431+E441</f>
        <v>13009000</v>
      </c>
      <c r="F404" s="135">
        <f t="shared" ref="F404:H405" si="237">F431+F441</f>
        <v>5547000</v>
      </c>
      <c r="G404" s="233">
        <f t="shared" si="237"/>
        <v>4376167</v>
      </c>
      <c r="H404" s="233">
        <f t="shared" si="237"/>
        <v>4376164.4000000004</v>
      </c>
      <c r="I404" s="613">
        <f t="shared" si="228"/>
        <v>0.78892453578510913</v>
      </c>
      <c r="J404" s="531">
        <f t="shared" si="227"/>
        <v>0.692983700845475</v>
      </c>
    </row>
    <row r="405" spans="1:31" ht="12.6" customHeight="1">
      <c r="A405" s="263"/>
      <c r="B405" s="984" t="s">
        <v>557</v>
      </c>
      <c r="C405" s="964"/>
      <c r="D405" s="277" t="s">
        <v>39</v>
      </c>
      <c r="E405" s="135">
        <f t="shared" ref="E405" si="238">E432+E442</f>
        <v>8529000</v>
      </c>
      <c r="F405" s="135">
        <f t="shared" si="237"/>
        <v>8079000</v>
      </c>
      <c r="G405" s="233">
        <f t="shared" si="237"/>
        <v>1938798</v>
      </c>
      <c r="H405" s="233">
        <f t="shared" si="237"/>
        <v>1938795.67</v>
      </c>
      <c r="I405" s="613">
        <f t="shared" si="228"/>
        <v>0.23997965961133802</v>
      </c>
      <c r="J405" s="531">
        <f t="shared" si="227"/>
        <v>0.44303538276578452</v>
      </c>
    </row>
    <row r="406" spans="1:31" ht="13.15" customHeight="1">
      <c r="A406" s="979" t="s">
        <v>77</v>
      </c>
      <c r="B406" s="980"/>
      <c r="C406" s="980"/>
      <c r="D406" s="236">
        <v>56</v>
      </c>
      <c r="E406" s="135">
        <f t="shared" ref="E406" si="239">E418</f>
        <v>0</v>
      </c>
      <c r="F406" s="135">
        <f t="shared" ref="F406:H406" si="240">F418</f>
        <v>0</v>
      </c>
      <c r="G406" s="233">
        <f t="shared" si="240"/>
        <v>0</v>
      </c>
      <c r="H406" s="233">
        <f t="shared" si="240"/>
        <v>0</v>
      </c>
      <c r="I406" s="613"/>
      <c r="J406" s="531">
        <f t="shared" si="227"/>
        <v>0</v>
      </c>
    </row>
    <row r="407" spans="1:31" ht="13.15" customHeight="1">
      <c r="A407" s="979" t="s">
        <v>56</v>
      </c>
      <c r="B407" s="980"/>
      <c r="C407" s="980"/>
      <c r="D407" s="236">
        <v>58</v>
      </c>
      <c r="E407" s="225">
        <f t="shared" ref="E407" si="241">E408+E409+E410</f>
        <v>6000</v>
      </c>
      <c r="F407" s="225">
        <f t="shared" ref="F407:H407" si="242">F408+F409+F410</f>
        <v>6000</v>
      </c>
      <c r="G407" s="422">
        <f t="shared" si="242"/>
        <v>0</v>
      </c>
      <c r="H407" s="422">
        <f t="shared" si="242"/>
        <v>0</v>
      </c>
      <c r="I407" s="613">
        <f>H407/F407</f>
        <v>0</v>
      </c>
      <c r="J407" s="531" t="e">
        <f t="shared" si="227"/>
        <v>#DIV/0!</v>
      </c>
    </row>
    <row r="408" spans="1:31" ht="13.15" customHeight="1">
      <c r="A408" s="263"/>
      <c r="B408" s="287" t="s">
        <v>17</v>
      </c>
      <c r="C408" s="286"/>
      <c r="D408" s="236"/>
      <c r="E408" s="225">
        <f t="shared" ref="E408" si="243">E423</f>
        <v>0</v>
      </c>
      <c r="F408" s="225">
        <f t="shared" ref="F408:H410" si="244">F423</f>
        <v>0</v>
      </c>
      <c r="G408" s="422">
        <f t="shared" si="244"/>
        <v>0</v>
      </c>
      <c r="H408" s="422">
        <f t="shared" si="244"/>
        <v>0</v>
      </c>
      <c r="I408" s="613"/>
      <c r="J408" s="531" t="e">
        <f t="shared" si="227"/>
        <v>#DIV/0!</v>
      </c>
    </row>
    <row r="409" spans="1:31" ht="13.15" customHeight="1">
      <c r="A409" s="263"/>
      <c r="B409" s="287" t="s">
        <v>16</v>
      </c>
      <c r="C409" s="286"/>
      <c r="D409" s="236"/>
      <c r="E409" s="225">
        <f t="shared" ref="E409" si="245">E424</f>
        <v>3000</v>
      </c>
      <c r="F409" s="225">
        <f t="shared" si="244"/>
        <v>3000</v>
      </c>
      <c r="G409" s="422">
        <f t="shared" si="244"/>
        <v>0</v>
      </c>
      <c r="H409" s="422">
        <f t="shared" si="244"/>
        <v>0</v>
      </c>
      <c r="I409" s="613">
        <f>H409/F409</f>
        <v>0</v>
      </c>
      <c r="J409" s="531" t="e">
        <f t="shared" si="227"/>
        <v>#DIV/0!</v>
      </c>
    </row>
    <row r="410" spans="1:31" ht="13.15" customHeight="1">
      <c r="A410" s="285"/>
      <c r="B410" s="284" t="s">
        <v>42</v>
      </c>
      <c r="C410" s="283"/>
      <c r="D410" s="236"/>
      <c r="E410" s="225">
        <f t="shared" ref="E410" si="246">E425</f>
        <v>3000</v>
      </c>
      <c r="F410" s="225">
        <f t="shared" si="244"/>
        <v>3000</v>
      </c>
      <c r="G410" s="422">
        <f t="shared" si="244"/>
        <v>0</v>
      </c>
      <c r="H410" s="422">
        <f t="shared" si="244"/>
        <v>0</v>
      </c>
      <c r="I410" s="613">
        <f>H410/F410</f>
        <v>0</v>
      </c>
      <c r="J410" s="531" t="e">
        <f t="shared" si="227"/>
        <v>#DIV/0!</v>
      </c>
    </row>
    <row r="411" spans="1:31" ht="13.9" customHeight="1">
      <c r="A411" s="826" t="s">
        <v>429</v>
      </c>
      <c r="B411" s="827"/>
      <c r="C411" s="828"/>
      <c r="D411" s="243">
        <v>59</v>
      </c>
      <c r="E411" s="135">
        <f t="shared" ref="E411:F411" si="247">E451</f>
        <v>11668000</v>
      </c>
      <c r="F411" s="135">
        <f t="shared" si="247"/>
        <v>5388000</v>
      </c>
      <c r="G411" s="233">
        <f>G452</f>
        <v>5387991</v>
      </c>
      <c r="H411" s="233">
        <f>H452</f>
        <v>5353451</v>
      </c>
      <c r="I411" s="613">
        <f>H411/F411</f>
        <v>0.99358778767631772</v>
      </c>
      <c r="J411" s="531" t="e">
        <f t="shared" si="227"/>
        <v>#DIV/0!</v>
      </c>
    </row>
    <row r="412" spans="1:31" ht="13.9" customHeight="1">
      <c r="A412" s="960" t="s">
        <v>23</v>
      </c>
      <c r="B412" s="961"/>
      <c r="C412" s="962"/>
      <c r="D412" s="236">
        <v>70</v>
      </c>
      <c r="E412" s="135">
        <f t="shared" ref="E412" si="248">E426</f>
        <v>20000</v>
      </c>
      <c r="F412" s="135">
        <f t="shared" ref="F412:H412" si="249">F426</f>
        <v>20000</v>
      </c>
      <c r="G412" s="233">
        <f t="shared" si="249"/>
        <v>0</v>
      </c>
      <c r="H412" s="233">
        <f t="shared" si="249"/>
        <v>0</v>
      </c>
      <c r="I412" s="613">
        <f>H412/F412</f>
        <v>0</v>
      </c>
      <c r="J412" s="531">
        <f t="shared" si="227"/>
        <v>0</v>
      </c>
    </row>
    <row r="413" spans="1:31" ht="13.9" customHeight="1">
      <c r="A413" s="960" t="s">
        <v>556</v>
      </c>
      <c r="B413" s="961"/>
      <c r="C413" s="962"/>
      <c r="D413" s="236">
        <v>81</v>
      </c>
      <c r="E413" s="137"/>
      <c r="F413" s="137"/>
      <c r="G413" s="229"/>
      <c r="H413" s="229"/>
      <c r="I413" s="613"/>
      <c r="J413" s="531" t="e">
        <f t="shared" si="227"/>
        <v>#DIV/0!</v>
      </c>
    </row>
    <row r="414" spans="1:31" ht="37.5" customHeight="1">
      <c r="A414" s="811" t="s">
        <v>390</v>
      </c>
      <c r="B414" s="812"/>
      <c r="C414" s="813"/>
      <c r="D414" s="143" t="s">
        <v>389</v>
      </c>
      <c r="E414" s="201"/>
      <c r="F414" s="201"/>
      <c r="G414" s="437"/>
      <c r="H414" s="494">
        <f>H456+H429</f>
        <v>-16862</v>
      </c>
      <c r="I414" s="613"/>
      <c r="J414" s="531" t="e">
        <f t="shared" si="227"/>
        <v>#DIV/0!</v>
      </c>
    </row>
    <row r="415" spans="1:31" s="239" customFormat="1" ht="17.45" customHeight="1">
      <c r="A415" s="957" t="s">
        <v>555</v>
      </c>
      <c r="B415" s="958"/>
      <c r="C415" s="959"/>
      <c r="D415" s="242" t="s">
        <v>554</v>
      </c>
      <c r="E415" s="241">
        <f t="shared" ref="E415" si="250">E416+E417+E426+E429+E422</f>
        <v>4695000</v>
      </c>
      <c r="F415" s="241">
        <f t="shared" ref="F415:H415" si="251">F416+F417+F426+F429+F422</f>
        <v>2496000</v>
      </c>
      <c r="G415" s="299">
        <f t="shared" si="251"/>
        <v>2016520</v>
      </c>
      <c r="H415" s="299">
        <f t="shared" si="251"/>
        <v>1980541.67</v>
      </c>
      <c r="I415" s="613">
        <f t="shared" ref="I415:I422" si="252">H415/F415</f>
        <v>0.79348624599358974</v>
      </c>
      <c r="J415" s="531">
        <f t="shared" si="227"/>
        <v>-117.45591685446566</v>
      </c>
      <c r="K415" s="240"/>
      <c r="L415" s="240"/>
      <c r="M415" s="491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</row>
    <row r="416" spans="1:31" ht="15" customHeight="1">
      <c r="A416" s="960" t="s">
        <v>58</v>
      </c>
      <c r="B416" s="961"/>
      <c r="C416" s="962"/>
      <c r="D416" s="160">
        <v>10</v>
      </c>
      <c r="E416" s="399">
        <v>2939000</v>
      </c>
      <c r="F416" s="399">
        <f>720000+763000</f>
        <v>1483000</v>
      </c>
      <c r="G416" s="229">
        <v>1410868</v>
      </c>
      <c r="H416" s="229">
        <v>1410161</v>
      </c>
      <c r="I416" s="613">
        <f t="shared" si="252"/>
        <v>0.95088401888064733</v>
      </c>
      <c r="J416" s="531">
        <f t="shared" si="227"/>
        <v>0.71200774079143714</v>
      </c>
    </row>
    <row r="417" spans="1:31" ht="13.9" customHeight="1">
      <c r="A417" s="960" t="s">
        <v>57</v>
      </c>
      <c r="B417" s="961"/>
      <c r="C417" s="962"/>
      <c r="D417" s="160">
        <v>20</v>
      </c>
      <c r="E417" s="137">
        <v>1730000</v>
      </c>
      <c r="F417" s="137">
        <f>254000+733000</f>
        <v>987000</v>
      </c>
      <c r="G417" s="229">
        <v>605652</v>
      </c>
      <c r="H417" s="229">
        <v>582742.67000000004</v>
      </c>
      <c r="I417" s="613">
        <f t="shared" si="252"/>
        <v>0.59041810536980754</v>
      </c>
      <c r="J417" s="531">
        <f t="shared" si="227"/>
        <v>0.41324548757198648</v>
      </c>
    </row>
    <row r="418" spans="1:31" ht="15" hidden="1" customHeight="1">
      <c r="A418" s="979" t="s">
        <v>47</v>
      </c>
      <c r="B418" s="980"/>
      <c r="C418" s="980"/>
      <c r="D418" s="236">
        <v>56</v>
      </c>
      <c r="E418" s="137"/>
      <c r="F418" s="137"/>
      <c r="G418" s="229"/>
      <c r="H418" s="229"/>
      <c r="I418" s="613" t="e">
        <f t="shared" si="252"/>
        <v>#DIV/0!</v>
      </c>
      <c r="J418" s="531">
        <f t="shared" si="227"/>
        <v>0</v>
      </c>
    </row>
    <row r="419" spans="1:31" ht="15" hidden="1" customHeight="1">
      <c r="A419" s="551"/>
      <c r="B419" s="578"/>
      <c r="C419" s="252" t="s">
        <v>17</v>
      </c>
      <c r="D419" s="236"/>
      <c r="E419" s="137"/>
      <c r="F419" s="137"/>
      <c r="G419" s="229"/>
      <c r="H419" s="229"/>
      <c r="I419" s="613" t="e">
        <f t="shared" si="252"/>
        <v>#DIV/0!</v>
      </c>
      <c r="J419" s="531" t="e">
        <f t="shared" si="227"/>
        <v>#DIV/0!</v>
      </c>
    </row>
    <row r="420" spans="1:31" ht="15" hidden="1" customHeight="1">
      <c r="A420" s="551"/>
      <c r="B420" s="578"/>
      <c r="C420" s="252" t="s">
        <v>16</v>
      </c>
      <c r="D420" s="236"/>
      <c r="E420" s="137"/>
      <c r="F420" s="137"/>
      <c r="G420" s="229"/>
      <c r="H420" s="229"/>
      <c r="I420" s="613" t="e">
        <f t="shared" si="252"/>
        <v>#DIV/0!</v>
      </c>
      <c r="J420" s="531" t="e">
        <f t="shared" si="227"/>
        <v>#DIV/0!</v>
      </c>
    </row>
    <row r="421" spans="1:31" ht="15" hidden="1" customHeight="1">
      <c r="A421" s="551"/>
      <c r="B421" s="578"/>
      <c r="C421" s="251" t="s">
        <v>15</v>
      </c>
      <c r="D421" s="236"/>
      <c r="E421" s="137"/>
      <c r="F421" s="137"/>
      <c r="G421" s="229"/>
      <c r="H421" s="229"/>
      <c r="I421" s="613" t="e">
        <f t="shared" si="252"/>
        <v>#DIV/0!</v>
      </c>
      <c r="J421" s="531" t="e">
        <f t="shared" si="227"/>
        <v>#DIV/0!</v>
      </c>
    </row>
    <row r="422" spans="1:31" ht="15" customHeight="1">
      <c r="A422" s="979" t="s">
        <v>56</v>
      </c>
      <c r="B422" s="980"/>
      <c r="C422" s="980"/>
      <c r="D422" s="236">
        <v>58</v>
      </c>
      <c r="E422" s="225">
        <f t="shared" ref="E422" si="253">E423+E424+E425</f>
        <v>6000</v>
      </c>
      <c r="F422" s="225">
        <f t="shared" ref="F422:H422" si="254">F423+F424+F425</f>
        <v>6000</v>
      </c>
      <c r="G422" s="422">
        <f t="shared" si="254"/>
        <v>0</v>
      </c>
      <c r="H422" s="422">
        <f t="shared" si="254"/>
        <v>0</v>
      </c>
      <c r="I422" s="613">
        <f t="shared" si="252"/>
        <v>0</v>
      </c>
      <c r="J422" s="531" t="e">
        <f t="shared" si="227"/>
        <v>#DIV/0!</v>
      </c>
    </row>
    <row r="423" spans="1:31" ht="15" customHeight="1">
      <c r="A423" s="263"/>
      <c r="B423" s="287" t="s">
        <v>17</v>
      </c>
      <c r="C423" s="286"/>
      <c r="D423" s="236"/>
      <c r="E423" s="225"/>
      <c r="F423" s="225"/>
      <c r="G423" s="422"/>
      <c r="H423" s="422"/>
      <c r="I423" s="613"/>
      <c r="J423" s="531" t="e">
        <f t="shared" si="227"/>
        <v>#DIV/0!</v>
      </c>
    </row>
    <row r="424" spans="1:31" ht="15" customHeight="1">
      <c r="A424" s="263"/>
      <c r="B424" s="287" t="s">
        <v>16</v>
      </c>
      <c r="C424" s="286"/>
      <c r="D424" s="236"/>
      <c r="E424" s="225">
        <v>3000</v>
      </c>
      <c r="F424" s="225">
        <v>3000</v>
      </c>
      <c r="G424" s="422"/>
      <c r="H424" s="422"/>
      <c r="I424" s="613">
        <f>H424/F424</f>
        <v>0</v>
      </c>
      <c r="J424" s="531" t="e">
        <f t="shared" si="227"/>
        <v>#DIV/0!</v>
      </c>
    </row>
    <row r="425" spans="1:31" ht="15" customHeight="1">
      <c r="A425" s="285"/>
      <c r="B425" s="284" t="s">
        <v>42</v>
      </c>
      <c r="C425" s="283"/>
      <c r="D425" s="236"/>
      <c r="E425" s="225">
        <v>3000</v>
      </c>
      <c r="F425" s="225">
        <v>3000</v>
      </c>
      <c r="G425" s="422"/>
      <c r="H425" s="422"/>
      <c r="I425" s="613">
        <f>H425/F425</f>
        <v>0</v>
      </c>
      <c r="J425" s="531" t="e">
        <f t="shared" si="227"/>
        <v>#DIV/0!</v>
      </c>
    </row>
    <row r="426" spans="1:31" ht="13.9" customHeight="1">
      <c r="A426" s="983" t="s">
        <v>23</v>
      </c>
      <c r="B426" s="971"/>
      <c r="C426" s="971"/>
      <c r="D426" s="236">
        <v>70</v>
      </c>
      <c r="E426" s="137">
        <f t="shared" ref="E426" si="255">E427+E428</f>
        <v>20000</v>
      </c>
      <c r="F426" s="137">
        <f t="shared" ref="F426:H426" si="256">F427+F428</f>
        <v>20000</v>
      </c>
      <c r="G426" s="229">
        <f t="shared" si="256"/>
        <v>0</v>
      </c>
      <c r="H426" s="229">
        <f t="shared" si="256"/>
        <v>0</v>
      </c>
      <c r="I426" s="613">
        <f>H426/F426</f>
        <v>0</v>
      </c>
      <c r="J426" s="531" t="e">
        <f t="shared" si="227"/>
        <v>#DIV/0!</v>
      </c>
    </row>
    <row r="427" spans="1:31" ht="13.15" customHeight="1">
      <c r="A427" s="153"/>
      <c r="B427" s="252" t="s">
        <v>17</v>
      </c>
      <c r="C427" s="144"/>
      <c r="D427" s="160"/>
      <c r="E427" s="137"/>
      <c r="F427" s="137"/>
      <c r="G427" s="229"/>
      <c r="H427" s="229"/>
      <c r="I427" s="613"/>
      <c r="J427" s="531" t="e">
        <f t="shared" si="227"/>
        <v>#DIV/0!</v>
      </c>
    </row>
    <row r="428" spans="1:31" ht="13.9" customHeight="1">
      <c r="A428" s="153"/>
      <c r="B428" s="252" t="s">
        <v>16</v>
      </c>
      <c r="C428" s="144"/>
      <c r="D428" s="160"/>
      <c r="E428" s="15">
        <v>20000</v>
      </c>
      <c r="F428" s="15">
        <v>20000</v>
      </c>
      <c r="G428" s="451"/>
      <c r="H428" s="451"/>
      <c r="I428" s="613">
        <f>H428/F428</f>
        <v>0</v>
      </c>
      <c r="J428" s="531" t="e">
        <f t="shared" si="227"/>
        <v>#DIV/0!</v>
      </c>
    </row>
    <row r="429" spans="1:31" ht="24.75" customHeight="1">
      <c r="A429" s="811" t="s">
        <v>390</v>
      </c>
      <c r="B429" s="812"/>
      <c r="C429" s="813"/>
      <c r="D429" s="143" t="s">
        <v>389</v>
      </c>
      <c r="E429" s="137"/>
      <c r="F429" s="137"/>
      <c r="G429" s="229"/>
      <c r="H429" s="229">
        <v>-12362</v>
      </c>
      <c r="I429" s="613"/>
      <c r="J429" s="531" t="e">
        <f t="shared" si="227"/>
        <v>#DIV/0!</v>
      </c>
    </row>
    <row r="430" spans="1:31" s="239" customFormat="1" ht="16.899999999999999" customHeight="1">
      <c r="A430" s="1019" t="s">
        <v>693</v>
      </c>
      <c r="B430" s="1020"/>
      <c r="C430" s="1021"/>
      <c r="D430" s="242" t="s">
        <v>553</v>
      </c>
      <c r="E430" s="279">
        <f t="shared" ref="E430" si="257">E431+E432</f>
        <v>11125000</v>
      </c>
      <c r="F430" s="279">
        <f t="shared" ref="F430:H430" si="258">F431+F432</f>
        <v>8499000</v>
      </c>
      <c r="G430" s="453">
        <f t="shared" si="258"/>
        <v>4155063</v>
      </c>
      <c r="H430" s="453">
        <f t="shared" si="258"/>
        <v>4155058.07</v>
      </c>
      <c r="I430" s="613">
        <f t="shared" ref="I430:I436" si="259">H430/F430</f>
        <v>0.48888787739734085</v>
      </c>
      <c r="J430" s="531">
        <f t="shared" si="227"/>
        <v>-336.11535916518363</v>
      </c>
      <c r="K430" s="240"/>
      <c r="L430" s="240"/>
      <c r="M430" s="491"/>
      <c r="N430" s="491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  <c r="AA430" s="240"/>
      <c r="AB430" s="240"/>
      <c r="AC430" s="240"/>
      <c r="AD430" s="240"/>
      <c r="AE430" s="240"/>
    </row>
    <row r="431" spans="1:31" s="239" customFormat="1" ht="15" customHeight="1">
      <c r="A431" s="177"/>
      <c r="B431" s="984" t="s">
        <v>522</v>
      </c>
      <c r="C431" s="964"/>
      <c r="D431" s="277" t="s">
        <v>399</v>
      </c>
      <c r="E431" s="137">
        <v>5166000</v>
      </c>
      <c r="F431" s="137">
        <f>1337000+1381000</f>
        <v>2718000</v>
      </c>
      <c r="G431" s="439">
        <v>2216265</v>
      </c>
      <c r="H431" s="439">
        <v>2216262.4</v>
      </c>
      <c r="I431" s="613">
        <f t="shared" si="259"/>
        <v>0.81540191317144961</v>
      </c>
      <c r="J431" s="531">
        <f t="shared" si="227"/>
        <v>0.53338903155209094</v>
      </c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  <c r="X431" s="240"/>
      <c r="Y431" s="240"/>
      <c r="Z431" s="240"/>
      <c r="AA431" s="240"/>
      <c r="AB431" s="240"/>
      <c r="AC431" s="240"/>
      <c r="AD431" s="240"/>
      <c r="AE431" s="240"/>
    </row>
    <row r="432" spans="1:31" s="239" customFormat="1" ht="13.9" customHeight="1">
      <c r="A432" s="177"/>
      <c r="B432" s="984" t="s">
        <v>534</v>
      </c>
      <c r="C432" s="964"/>
      <c r="D432" s="277" t="s">
        <v>39</v>
      </c>
      <c r="E432" s="137">
        <f t="shared" ref="E432" si="260">E438+E439</f>
        <v>5959000</v>
      </c>
      <c r="F432" s="137">
        <f t="shared" ref="F432:G432" si="261">F438+F439</f>
        <v>5781000</v>
      </c>
      <c r="G432" s="229">
        <f t="shared" si="261"/>
        <v>1938798</v>
      </c>
      <c r="H432" s="229">
        <f>H438+H439</f>
        <v>1938795.67</v>
      </c>
      <c r="I432" s="613">
        <f t="shared" si="259"/>
        <v>0.33537375367583461</v>
      </c>
      <c r="J432" s="531">
        <f t="shared" si="227"/>
        <v>0.87480420639722078</v>
      </c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  <c r="AA432" s="240"/>
      <c r="AB432" s="240"/>
      <c r="AC432" s="240"/>
      <c r="AD432" s="240"/>
      <c r="AE432" s="240"/>
    </row>
    <row r="433" spans="1:31" s="239" customFormat="1" ht="15" hidden="1" customHeight="1">
      <c r="A433" s="177"/>
      <c r="B433" s="281" t="s">
        <v>551</v>
      </c>
      <c r="C433" s="282"/>
      <c r="D433" s="176"/>
      <c r="E433" s="137"/>
      <c r="F433" s="137"/>
      <c r="G433" s="229"/>
      <c r="H433" s="229"/>
      <c r="I433" s="613" t="e">
        <f t="shared" si="259"/>
        <v>#DIV/0!</v>
      </c>
      <c r="J433" s="531">
        <f t="shared" si="227"/>
        <v>0</v>
      </c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  <c r="X433" s="240"/>
      <c r="Y433" s="240"/>
      <c r="Z433" s="240"/>
      <c r="AA433" s="240"/>
      <c r="AB433" s="240"/>
      <c r="AC433" s="240"/>
      <c r="AD433" s="240"/>
      <c r="AE433" s="240"/>
    </row>
    <row r="434" spans="1:31" s="239" customFormat="1" ht="15" hidden="1" customHeight="1">
      <c r="A434" s="577"/>
      <c r="B434" s="149"/>
      <c r="C434" s="252" t="s">
        <v>17</v>
      </c>
      <c r="D434" s="176"/>
      <c r="E434" s="137"/>
      <c r="F434" s="137"/>
      <c r="G434" s="229"/>
      <c r="H434" s="229"/>
      <c r="I434" s="613" t="e">
        <f t="shared" si="259"/>
        <v>#DIV/0!</v>
      </c>
      <c r="J434" s="531" t="e">
        <f t="shared" si="227"/>
        <v>#DIV/0!</v>
      </c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/>
      <c r="AA434" s="240"/>
      <c r="AB434" s="240"/>
      <c r="AC434" s="240"/>
      <c r="AD434" s="240"/>
      <c r="AE434" s="240"/>
    </row>
    <row r="435" spans="1:31" s="239" customFormat="1" ht="15" hidden="1" customHeight="1">
      <c r="A435" s="577"/>
      <c r="B435" s="149"/>
      <c r="C435" s="252" t="s">
        <v>16</v>
      </c>
      <c r="D435" s="176"/>
      <c r="E435" s="137"/>
      <c r="F435" s="137"/>
      <c r="G435" s="229"/>
      <c r="H435" s="229"/>
      <c r="I435" s="613" t="e">
        <f t="shared" si="259"/>
        <v>#DIV/0!</v>
      </c>
      <c r="J435" s="531" t="e">
        <f t="shared" si="227"/>
        <v>#DIV/0!</v>
      </c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  <c r="V435" s="240"/>
      <c r="W435" s="240"/>
      <c r="X435" s="240"/>
      <c r="Y435" s="240"/>
      <c r="Z435" s="240"/>
      <c r="AA435" s="240"/>
      <c r="AB435" s="240"/>
      <c r="AC435" s="240"/>
      <c r="AD435" s="240"/>
      <c r="AE435" s="240"/>
    </row>
    <row r="436" spans="1:31" s="239" customFormat="1" ht="15" hidden="1" customHeight="1">
      <c r="A436" s="577"/>
      <c r="B436" s="578"/>
      <c r="C436" s="251" t="s">
        <v>15</v>
      </c>
      <c r="D436" s="176"/>
      <c r="E436" s="137"/>
      <c r="F436" s="137"/>
      <c r="G436" s="229"/>
      <c r="H436" s="229"/>
      <c r="I436" s="613" t="e">
        <f t="shared" si="259"/>
        <v>#DIV/0!</v>
      </c>
      <c r="J436" s="531" t="e">
        <f t="shared" si="227"/>
        <v>#DIV/0!</v>
      </c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  <c r="X436" s="240"/>
      <c r="Y436" s="240"/>
      <c r="Z436" s="240"/>
      <c r="AA436" s="240"/>
      <c r="AB436" s="240"/>
      <c r="AC436" s="240"/>
      <c r="AD436" s="240"/>
      <c r="AE436" s="240"/>
    </row>
    <row r="437" spans="1:31" s="239" customFormat="1" ht="13.15" customHeight="1">
      <c r="A437" s="177"/>
      <c r="B437" s="281" t="s">
        <v>550</v>
      </c>
      <c r="C437" s="280"/>
      <c r="D437" s="176"/>
      <c r="E437" s="137"/>
      <c r="F437" s="137"/>
      <c r="G437" s="229"/>
      <c r="H437" s="229"/>
      <c r="I437" s="613"/>
      <c r="J437" s="531" t="e">
        <f t="shared" si="227"/>
        <v>#DIV/0!</v>
      </c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  <c r="AA437" s="240"/>
      <c r="AB437" s="240"/>
      <c r="AC437" s="240"/>
      <c r="AD437" s="240"/>
      <c r="AE437" s="240"/>
    </row>
    <row r="438" spans="1:31" s="239" customFormat="1" ht="13.9" customHeight="1">
      <c r="A438" s="577"/>
      <c r="B438" s="149"/>
      <c r="C438" s="252" t="s">
        <v>17</v>
      </c>
      <c r="D438" s="176"/>
      <c r="E438" s="410"/>
      <c r="F438" s="410"/>
      <c r="G438" s="443"/>
      <c r="H438" s="443"/>
      <c r="I438" s="613"/>
      <c r="J438" s="531" t="e">
        <f t="shared" si="227"/>
        <v>#DIV/0!</v>
      </c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  <c r="Y438" s="240"/>
      <c r="Z438" s="240"/>
      <c r="AA438" s="240"/>
      <c r="AB438" s="240"/>
      <c r="AC438" s="240"/>
      <c r="AD438" s="240"/>
      <c r="AE438" s="240"/>
    </row>
    <row r="439" spans="1:31" s="239" customFormat="1" ht="14.45" customHeight="1">
      <c r="A439" s="577"/>
      <c r="B439" s="149"/>
      <c r="C439" s="252" t="s">
        <v>16</v>
      </c>
      <c r="D439" s="176"/>
      <c r="E439" s="15">
        <v>5959000</v>
      </c>
      <c r="F439" s="15">
        <f>2391000+3390000</f>
        <v>5781000</v>
      </c>
      <c r="G439" s="94">
        <v>1938798</v>
      </c>
      <c r="H439" s="94">
        <v>1938795.67</v>
      </c>
      <c r="I439" s="613">
        <f>H439/F439</f>
        <v>0.33537375367583461</v>
      </c>
      <c r="J439" s="531" t="e">
        <f t="shared" si="227"/>
        <v>#DIV/0!</v>
      </c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  <c r="X439" s="240"/>
      <c r="Y439" s="240"/>
      <c r="Z439" s="240"/>
      <c r="AA439" s="240"/>
      <c r="AB439" s="240"/>
      <c r="AC439" s="240"/>
      <c r="AD439" s="240"/>
      <c r="AE439" s="240"/>
    </row>
    <row r="440" spans="1:31" s="239" customFormat="1" ht="15.6" customHeight="1">
      <c r="A440" s="1016" t="s">
        <v>432</v>
      </c>
      <c r="B440" s="1017"/>
      <c r="C440" s="1018"/>
      <c r="D440" s="242" t="s">
        <v>552</v>
      </c>
      <c r="E440" s="279">
        <f t="shared" ref="E440" si="262">E441+E442</f>
        <v>10413000</v>
      </c>
      <c r="F440" s="279">
        <f t="shared" ref="F440:H440" si="263">F441+F442</f>
        <v>5127000</v>
      </c>
      <c r="G440" s="453">
        <f t="shared" si="263"/>
        <v>2159902</v>
      </c>
      <c r="H440" s="453">
        <f t="shared" si="263"/>
        <v>2159902</v>
      </c>
      <c r="I440" s="613">
        <f>H440/F440</f>
        <v>0.42127989077433198</v>
      </c>
      <c r="J440" s="531">
        <f t="shared" si="227"/>
        <v>1.1140431317344546</v>
      </c>
      <c r="K440" s="246"/>
      <c r="L440" s="246"/>
      <c r="M440" s="491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  <c r="X440" s="240"/>
      <c r="Y440" s="240"/>
      <c r="Z440" s="240"/>
      <c r="AA440" s="240"/>
      <c r="AB440" s="240"/>
      <c r="AC440" s="240"/>
      <c r="AD440" s="240"/>
      <c r="AE440" s="240"/>
    </row>
    <row r="441" spans="1:31" s="239" customFormat="1" ht="15" customHeight="1">
      <c r="A441" s="177"/>
      <c r="B441" s="848" t="s">
        <v>522</v>
      </c>
      <c r="C441" s="849"/>
      <c r="D441" s="277" t="s">
        <v>399</v>
      </c>
      <c r="E441" s="137">
        <v>7843000</v>
      </c>
      <c r="F441" s="137">
        <f>953000+1876000</f>
        <v>2829000</v>
      </c>
      <c r="G441" s="439">
        <v>2159902</v>
      </c>
      <c r="H441" s="439">
        <v>2159902</v>
      </c>
      <c r="I441" s="613">
        <f>H441/F441</f>
        <v>0.76348603746907029</v>
      </c>
      <c r="J441" s="531">
        <f t="shared" si="227"/>
        <v>1</v>
      </c>
      <c r="K441" s="240"/>
      <c r="L441" s="240"/>
      <c r="M441" s="513"/>
      <c r="N441" s="240"/>
      <c r="O441" s="240"/>
      <c r="P441" s="240"/>
      <c r="Q441" s="240"/>
      <c r="R441" s="240"/>
      <c r="S441" s="240"/>
      <c r="T441" s="240"/>
      <c r="U441" s="240"/>
      <c r="V441" s="240"/>
      <c r="W441" s="240"/>
      <c r="X441" s="240"/>
      <c r="Y441" s="240"/>
      <c r="Z441" s="240"/>
      <c r="AA441" s="240"/>
      <c r="AB441" s="240"/>
      <c r="AC441" s="240"/>
      <c r="AD441" s="240"/>
      <c r="AE441" s="240"/>
    </row>
    <row r="442" spans="1:31" s="239" customFormat="1" ht="14.45" customHeight="1">
      <c r="A442" s="272"/>
      <c r="B442" s="984" t="s">
        <v>534</v>
      </c>
      <c r="C442" s="964"/>
      <c r="D442" s="277" t="s">
        <v>39</v>
      </c>
      <c r="E442" s="137">
        <f t="shared" ref="E442" si="264">E443+E447</f>
        <v>2570000</v>
      </c>
      <c r="F442" s="137">
        <f t="shared" ref="F442:H442" si="265">F443+F447</f>
        <v>2298000</v>
      </c>
      <c r="G442" s="229">
        <f t="shared" si="265"/>
        <v>0</v>
      </c>
      <c r="H442" s="229">
        <f t="shared" si="265"/>
        <v>0</v>
      </c>
      <c r="I442" s="613">
        <f>H442/F442</f>
        <v>0</v>
      </c>
      <c r="J442" s="531">
        <f t="shared" si="227"/>
        <v>0</v>
      </c>
      <c r="K442" s="240"/>
      <c r="L442" s="240"/>
      <c r="M442" s="513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  <c r="X442" s="240"/>
      <c r="Y442" s="240"/>
      <c r="Z442" s="240"/>
      <c r="AA442" s="240"/>
      <c r="AB442" s="240"/>
      <c r="AC442" s="240"/>
      <c r="AD442" s="240"/>
      <c r="AE442" s="240"/>
    </row>
    <row r="443" spans="1:31" s="239" customFormat="1" ht="13.15" customHeight="1">
      <c r="A443" s="177"/>
      <c r="B443" s="1014" t="s">
        <v>551</v>
      </c>
      <c r="C443" s="1015"/>
      <c r="D443" s="176"/>
      <c r="E443" s="137">
        <f>E444+E445+E446</f>
        <v>634000</v>
      </c>
      <c r="F443" s="137">
        <f t="shared" ref="F443:H443" si="266">F444+F445+F446</f>
        <v>634000</v>
      </c>
      <c r="G443" s="137">
        <f t="shared" si="266"/>
        <v>0</v>
      </c>
      <c r="H443" s="137">
        <f t="shared" si="266"/>
        <v>0</v>
      </c>
      <c r="I443" s="613">
        <f>H443/F443</f>
        <v>0</v>
      </c>
      <c r="J443" s="531" t="e">
        <f t="shared" si="227"/>
        <v>#DIV/0!</v>
      </c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  <c r="AA443" s="240"/>
      <c r="AB443" s="240"/>
      <c r="AC443" s="240"/>
      <c r="AD443" s="240"/>
      <c r="AE443" s="240"/>
    </row>
    <row r="444" spans="1:31" s="239" customFormat="1" ht="13.15" customHeight="1">
      <c r="A444" s="577"/>
      <c r="B444" s="149"/>
      <c r="C444" s="252" t="s">
        <v>17</v>
      </c>
      <c r="D444" s="176"/>
      <c r="E444" s="137"/>
      <c r="F444" s="137"/>
      <c r="G444" s="229"/>
      <c r="H444" s="229"/>
      <c r="I444" s="613"/>
      <c r="J444" s="531" t="e">
        <f t="shared" si="227"/>
        <v>#DIV/0!</v>
      </c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  <c r="AA444" s="240"/>
      <c r="AB444" s="240"/>
      <c r="AC444" s="240"/>
      <c r="AD444" s="240"/>
      <c r="AE444" s="240"/>
    </row>
    <row r="445" spans="1:31" s="239" customFormat="1" ht="13.9" customHeight="1">
      <c r="A445" s="577"/>
      <c r="B445" s="149"/>
      <c r="C445" s="252" t="s">
        <v>16</v>
      </c>
      <c r="D445" s="176"/>
      <c r="E445" s="15">
        <v>634000</v>
      </c>
      <c r="F445" s="15">
        <v>634000</v>
      </c>
      <c r="G445" s="94"/>
      <c r="H445" s="94"/>
      <c r="I445" s="613">
        <f>H445/F445</f>
        <v>0</v>
      </c>
      <c r="J445" s="531" t="e">
        <f t="shared" si="227"/>
        <v>#DIV/0!</v>
      </c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240"/>
      <c r="AD445" s="240"/>
      <c r="AE445" s="240"/>
    </row>
    <row r="446" spans="1:31" s="239" customFormat="1" ht="13.9" customHeight="1">
      <c r="A446" s="577"/>
      <c r="B446" s="578"/>
      <c r="C446" s="251" t="s">
        <v>15</v>
      </c>
      <c r="D446" s="176"/>
      <c r="E446" s="137"/>
      <c r="F446" s="137"/>
      <c r="G446" s="229"/>
      <c r="H446" s="229"/>
      <c r="I446" s="613"/>
      <c r="J446" s="531" t="e">
        <f t="shared" si="227"/>
        <v>#DIV/0!</v>
      </c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  <c r="AA446" s="240"/>
      <c r="AB446" s="240"/>
      <c r="AC446" s="240"/>
      <c r="AD446" s="240"/>
      <c r="AE446" s="240"/>
    </row>
    <row r="447" spans="1:31" s="239" customFormat="1" ht="13.9" customHeight="1">
      <c r="A447" s="177"/>
      <c r="B447" s="1014" t="s">
        <v>550</v>
      </c>
      <c r="C447" s="1015"/>
      <c r="D447" s="176"/>
      <c r="E447" s="137">
        <f t="shared" ref="E447" si="267">E448+E449</f>
        <v>1936000</v>
      </c>
      <c r="F447" s="137">
        <f t="shared" ref="F447:H447" si="268">F448+F449</f>
        <v>1664000</v>
      </c>
      <c r="G447" s="229">
        <f t="shared" si="268"/>
        <v>0</v>
      </c>
      <c r="H447" s="229">
        <f t="shared" si="268"/>
        <v>0</v>
      </c>
      <c r="I447" s="613">
        <f>H447/F447</f>
        <v>0</v>
      </c>
      <c r="J447" s="531" t="e">
        <f t="shared" si="227"/>
        <v>#DIV/0!</v>
      </c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  <c r="X447" s="240"/>
      <c r="Y447" s="240"/>
      <c r="Z447" s="240"/>
      <c r="AA447" s="240"/>
      <c r="AB447" s="240"/>
      <c r="AC447" s="240"/>
      <c r="AD447" s="240"/>
      <c r="AE447" s="240"/>
    </row>
    <row r="448" spans="1:31" s="239" customFormat="1" ht="14.45" customHeight="1">
      <c r="A448" s="577"/>
      <c r="B448" s="149"/>
      <c r="C448" s="252" t="s">
        <v>17</v>
      </c>
      <c r="D448" s="176"/>
      <c r="E448" s="406"/>
      <c r="F448" s="406"/>
      <c r="G448" s="407"/>
      <c r="H448" s="407"/>
      <c r="I448" s="613"/>
      <c r="J448" s="531" t="e">
        <f t="shared" si="227"/>
        <v>#DIV/0!</v>
      </c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  <c r="W448" s="240"/>
      <c r="X448" s="240"/>
      <c r="Y448" s="240"/>
      <c r="Z448" s="240"/>
      <c r="AA448" s="240"/>
      <c r="AB448" s="240"/>
      <c r="AC448" s="240"/>
      <c r="AD448" s="240"/>
      <c r="AE448" s="240"/>
    </row>
    <row r="449" spans="1:31" s="239" customFormat="1" ht="15.6" customHeight="1">
      <c r="A449" s="577"/>
      <c r="B449" s="149"/>
      <c r="C449" s="252" t="s">
        <v>16</v>
      </c>
      <c r="D449" s="400"/>
      <c r="E449" s="15">
        <v>1936000</v>
      </c>
      <c r="F449" s="15">
        <f>40000+1624000</f>
        <v>1664000</v>
      </c>
      <c r="G449" s="94"/>
      <c r="H449" s="94"/>
      <c r="I449" s="613">
        <f>H449/F449</f>
        <v>0</v>
      </c>
      <c r="J449" s="531" t="e">
        <f t="shared" ref="J449:J512" si="269">(H449/H448)</f>
        <v>#DIV/0!</v>
      </c>
      <c r="K449" s="240"/>
      <c r="L449" s="2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  <c r="W449" s="240"/>
      <c r="X449" s="240"/>
      <c r="Y449" s="240"/>
      <c r="Z449" s="240"/>
      <c r="AA449" s="240"/>
      <c r="AB449" s="240"/>
      <c r="AC449" s="240"/>
      <c r="AD449" s="240"/>
      <c r="AE449" s="240"/>
    </row>
    <row r="450" spans="1:31" s="239" customFormat="1" ht="26.25" customHeight="1">
      <c r="A450" s="811" t="s">
        <v>390</v>
      </c>
      <c r="B450" s="812"/>
      <c r="C450" s="813"/>
      <c r="D450" s="143" t="s">
        <v>389</v>
      </c>
      <c r="E450" s="225"/>
      <c r="F450" s="225"/>
      <c r="G450" s="422"/>
      <c r="H450" s="422"/>
      <c r="I450" s="613"/>
      <c r="J450" s="531" t="e">
        <f t="shared" si="269"/>
        <v>#DIV/0!</v>
      </c>
      <c r="K450" s="240"/>
      <c r="L450" s="2"/>
      <c r="M450" s="491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  <c r="X450" s="240"/>
      <c r="Y450" s="240"/>
      <c r="Z450" s="240"/>
      <c r="AA450" s="240"/>
      <c r="AB450" s="240"/>
      <c r="AC450" s="240"/>
      <c r="AD450" s="240"/>
      <c r="AE450" s="240"/>
    </row>
    <row r="451" spans="1:31" ht="16.899999999999999" customHeight="1">
      <c r="A451" s="1016" t="s">
        <v>430</v>
      </c>
      <c r="B451" s="1017"/>
      <c r="C451" s="1018"/>
      <c r="D451" s="242" t="s">
        <v>549</v>
      </c>
      <c r="E451" s="279">
        <f t="shared" ref="E451" si="270">E453+E454+E456</f>
        <v>11668000</v>
      </c>
      <c r="F451" s="279">
        <f t="shared" ref="F451:H451" si="271">F453+F454+F456</f>
        <v>5388000</v>
      </c>
      <c r="G451" s="453">
        <f t="shared" si="271"/>
        <v>5387991</v>
      </c>
      <c r="H451" s="453">
        <f t="shared" si="271"/>
        <v>5348951</v>
      </c>
      <c r="I451" s="613">
        <f>H451/F451</f>
        <v>0.9927525983667409</v>
      </c>
      <c r="J451" s="531" t="e">
        <f t="shared" si="269"/>
        <v>#DIV/0!</v>
      </c>
    </row>
    <row r="452" spans="1:31" ht="15" customHeight="1">
      <c r="A452" s="826" t="s">
        <v>548</v>
      </c>
      <c r="B452" s="827"/>
      <c r="C452" s="828"/>
      <c r="D452" s="278">
        <v>59</v>
      </c>
      <c r="E452" s="175">
        <f t="shared" ref="E452" si="272">E453+E454</f>
        <v>11668000</v>
      </c>
      <c r="F452" s="175">
        <f t="shared" ref="F452:H452" si="273">F453+F454</f>
        <v>5388000</v>
      </c>
      <c r="G452" s="448">
        <f t="shared" si="273"/>
        <v>5387991</v>
      </c>
      <c r="H452" s="448">
        <f t="shared" si="273"/>
        <v>5353451</v>
      </c>
      <c r="I452" s="613">
        <f>H452/F452</f>
        <v>0.99358778767631772</v>
      </c>
      <c r="J452" s="531">
        <f t="shared" si="269"/>
        <v>1.0008412864503713</v>
      </c>
    </row>
    <row r="453" spans="1:31" ht="16.149999999999999" customHeight="1">
      <c r="A453" s="223"/>
      <c r="B453" s="1008" t="s">
        <v>428</v>
      </c>
      <c r="C453" s="967"/>
      <c r="D453" s="243" t="s">
        <v>427</v>
      </c>
      <c r="E453" s="137">
        <f>1100000+100000</f>
        <v>1200000</v>
      </c>
      <c r="F453" s="137">
        <v>400000</v>
      </c>
      <c r="G453" s="229">
        <v>400000</v>
      </c>
      <c r="H453" s="229">
        <v>375000</v>
      </c>
      <c r="I453" s="613">
        <f>H453/F453</f>
        <v>0.9375</v>
      </c>
      <c r="J453" s="531">
        <f t="shared" si="269"/>
        <v>7.0048273534211863E-2</v>
      </c>
    </row>
    <row r="454" spans="1:31" ht="16.149999999999999" customHeight="1">
      <c r="A454" s="223"/>
      <c r="B454" s="1008" t="s">
        <v>426</v>
      </c>
      <c r="C454" s="967"/>
      <c r="D454" s="243" t="s">
        <v>425</v>
      </c>
      <c r="E454" s="137">
        <f>7734000+2734000</f>
        <v>10468000</v>
      </c>
      <c r="F454" s="137">
        <f>2492000+2496000</f>
        <v>4988000</v>
      </c>
      <c r="G454" s="229">
        <v>4987991</v>
      </c>
      <c r="H454" s="229">
        <v>4978451</v>
      </c>
      <c r="I454" s="613">
        <f>H454/F454</f>
        <v>0.99808560545308744</v>
      </c>
      <c r="J454" s="531">
        <f t="shared" si="269"/>
        <v>13.275869333333333</v>
      </c>
    </row>
    <row r="455" spans="1:31" ht="12.6" hidden="1" customHeight="1">
      <c r="A455" s="1009"/>
      <c r="B455" s="1010"/>
      <c r="C455" s="1010"/>
      <c r="D455" s="247"/>
      <c r="E455" s="137"/>
      <c r="F455" s="137"/>
      <c r="G455" s="229"/>
      <c r="H455" s="229"/>
      <c r="I455" s="613" t="e">
        <f>H455/F455</f>
        <v>#DIV/0!</v>
      </c>
      <c r="J455" s="531">
        <f t="shared" si="269"/>
        <v>0</v>
      </c>
      <c r="L455" s="238"/>
    </row>
    <row r="456" spans="1:31" ht="26.25" customHeight="1">
      <c r="A456" s="811" t="s">
        <v>390</v>
      </c>
      <c r="B456" s="812"/>
      <c r="C456" s="813"/>
      <c r="D456" s="143" t="s">
        <v>389</v>
      </c>
      <c r="E456" s="137"/>
      <c r="F456" s="137"/>
      <c r="G456" s="229"/>
      <c r="H456" s="441">
        <v>-4500</v>
      </c>
      <c r="I456" s="613"/>
      <c r="J456" s="531" t="e">
        <f t="shared" si="269"/>
        <v>#DIV/0!</v>
      </c>
      <c r="M456" s="491"/>
    </row>
    <row r="457" spans="1:31" s="237" customFormat="1" ht="17.25" customHeight="1">
      <c r="A457" s="1011" t="s">
        <v>547</v>
      </c>
      <c r="B457" s="1012"/>
      <c r="C457" s="1013"/>
      <c r="D457" s="266" t="s">
        <v>50</v>
      </c>
      <c r="E457" s="265">
        <f t="shared" ref="E457" si="274">E469+E514+E518</f>
        <v>74483000</v>
      </c>
      <c r="F457" s="265">
        <f t="shared" ref="F457:H457" si="275">F469+F514+F518</f>
        <v>41276000</v>
      </c>
      <c r="G457" s="335">
        <f t="shared" si="275"/>
        <v>29575384</v>
      </c>
      <c r="H457" s="335">
        <f t="shared" si="275"/>
        <v>27458890.050000004</v>
      </c>
      <c r="I457" s="613">
        <f>H457/F457</f>
        <v>0.66525075225312547</v>
      </c>
      <c r="J457" s="531">
        <f t="shared" si="269"/>
        <v>-6101.9755666666679</v>
      </c>
      <c r="K457" s="238"/>
      <c r="L457" s="2"/>
      <c r="M457" s="517"/>
      <c r="N457" s="491"/>
      <c r="O457" s="491"/>
      <c r="P457" s="491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8"/>
      <c r="AB457" s="238"/>
      <c r="AC457" s="238"/>
      <c r="AD457" s="238"/>
      <c r="AE457" s="238"/>
    </row>
    <row r="458" spans="1:31" ht="15" customHeight="1">
      <c r="A458" s="960" t="s">
        <v>58</v>
      </c>
      <c r="B458" s="961"/>
      <c r="C458" s="962"/>
      <c r="D458" s="243">
        <v>10</v>
      </c>
      <c r="E458" s="135">
        <f t="shared" ref="E458" si="276">E470</f>
        <v>45343000</v>
      </c>
      <c r="F458" s="135">
        <f t="shared" ref="F458:H458" si="277">F470</f>
        <v>22280000</v>
      </c>
      <c r="G458" s="233">
        <f t="shared" si="277"/>
        <v>20288921</v>
      </c>
      <c r="H458" s="233">
        <f t="shared" si="277"/>
        <v>19658748</v>
      </c>
      <c r="I458" s="613">
        <f>H458/F458</f>
        <v>0.8823495511669659</v>
      </c>
      <c r="J458" s="531">
        <f t="shared" si="269"/>
        <v>0.71593381830814373</v>
      </c>
      <c r="M458" s="100"/>
    </row>
    <row r="459" spans="1:31" ht="15" customHeight="1">
      <c r="A459" s="960" t="s">
        <v>57</v>
      </c>
      <c r="B459" s="961"/>
      <c r="C459" s="962"/>
      <c r="D459" s="147">
        <v>20</v>
      </c>
      <c r="E459" s="135">
        <f t="shared" ref="E459" si="278">E471+E515</f>
        <v>17223000</v>
      </c>
      <c r="F459" s="135">
        <f t="shared" ref="F459:H459" si="279">F471+F515</f>
        <v>9594000</v>
      </c>
      <c r="G459" s="233">
        <f t="shared" si="279"/>
        <v>5557548</v>
      </c>
      <c r="H459" s="233">
        <f t="shared" si="279"/>
        <v>5297939.13</v>
      </c>
      <c r="I459" s="613">
        <f>H459/F459</f>
        <v>0.55221379299562223</v>
      </c>
      <c r="J459" s="531">
        <f t="shared" si="269"/>
        <v>0.26949524608586467</v>
      </c>
    </row>
    <row r="460" spans="1:31" ht="15" customHeight="1">
      <c r="A460" s="960" t="s">
        <v>438</v>
      </c>
      <c r="B460" s="961"/>
      <c r="C460" s="962"/>
      <c r="D460" s="243" t="s">
        <v>49</v>
      </c>
      <c r="E460" s="135">
        <f t="shared" ref="E460" si="280">E472+E516+E518</f>
        <v>3521000</v>
      </c>
      <c r="F460" s="135">
        <f t="shared" ref="F460:H460" si="281">F472+F516+F518</f>
        <v>2153000</v>
      </c>
      <c r="G460" s="233">
        <f t="shared" si="281"/>
        <v>1125066</v>
      </c>
      <c r="H460" s="233">
        <f t="shared" si="281"/>
        <v>933995.82000000007</v>
      </c>
      <c r="I460" s="613">
        <f>H460/F460</f>
        <v>0.43381134231305157</v>
      </c>
      <c r="J460" s="531">
        <f t="shared" si="269"/>
        <v>0.17629417724170796</v>
      </c>
    </row>
    <row r="461" spans="1:31" ht="15" customHeight="1">
      <c r="A461" s="272"/>
      <c r="B461" s="984" t="s">
        <v>522</v>
      </c>
      <c r="C461" s="964"/>
      <c r="D461" s="277" t="s">
        <v>399</v>
      </c>
      <c r="E461" s="135">
        <f t="shared" ref="E461" si="282">E472+E516+E520</f>
        <v>3521000</v>
      </c>
      <c r="F461" s="135">
        <f t="shared" ref="F461:H461" si="283">F472+F516+F520</f>
        <v>2153000</v>
      </c>
      <c r="G461" s="233">
        <f t="shared" si="283"/>
        <v>1125066</v>
      </c>
      <c r="H461" s="233">
        <f t="shared" si="283"/>
        <v>933995.82000000007</v>
      </c>
      <c r="I461" s="613">
        <f>H461/F461</f>
        <v>0.43381134231305157</v>
      </c>
      <c r="J461" s="531">
        <f t="shared" si="269"/>
        <v>1</v>
      </c>
    </row>
    <row r="462" spans="1:31" ht="15" customHeight="1">
      <c r="A462" s="272"/>
      <c r="B462" s="984" t="s">
        <v>534</v>
      </c>
      <c r="C462" s="964"/>
      <c r="D462" s="277" t="s">
        <v>39</v>
      </c>
      <c r="E462" s="135">
        <f t="shared" ref="E462" si="284">E521</f>
        <v>0</v>
      </c>
      <c r="F462" s="135">
        <f t="shared" ref="F462:H462" si="285">F521</f>
        <v>0</v>
      </c>
      <c r="G462" s="233">
        <f t="shared" si="285"/>
        <v>0</v>
      </c>
      <c r="H462" s="233">
        <f t="shared" si="285"/>
        <v>0</v>
      </c>
      <c r="I462" s="613"/>
      <c r="J462" s="531">
        <f t="shared" si="269"/>
        <v>0</v>
      </c>
    </row>
    <row r="463" spans="1:31" ht="15" customHeight="1">
      <c r="A463" s="826" t="s">
        <v>405</v>
      </c>
      <c r="B463" s="827"/>
      <c r="C463" s="828"/>
      <c r="D463" s="277">
        <v>55</v>
      </c>
      <c r="E463" s="135">
        <f t="shared" ref="E463" si="286">E517</f>
        <v>0</v>
      </c>
      <c r="F463" s="135">
        <f t="shared" ref="F463:H463" si="287">F517</f>
        <v>0</v>
      </c>
      <c r="G463" s="233">
        <f t="shared" si="287"/>
        <v>0</v>
      </c>
      <c r="H463" s="233">
        <f t="shared" si="287"/>
        <v>0</v>
      </c>
      <c r="I463" s="613"/>
      <c r="J463" s="531" t="e">
        <f t="shared" si="269"/>
        <v>#DIV/0!</v>
      </c>
    </row>
    <row r="464" spans="1:31" ht="15" customHeight="1">
      <c r="A464" s="979" t="s">
        <v>531</v>
      </c>
      <c r="B464" s="980"/>
      <c r="C464" s="980"/>
      <c r="D464" s="243">
        <v>58</v>
      </c>
      <c r="E464" s="135">
        <f t="shared" ref="E464" si="288">E477</f>
        <v>5810000</v>
      </c>
      <c r="F464" s="135">
        <f t="shared" ref="F464:H464" si="289">F477</f>
        <v>5147000</v>
      </c>
      <c r="G464" s="233">
        <f t="shared" si="289"/>
        <v>1819303</v>
      </c>
      <c r="H464" s="233">
        <f t="shared" si="289"/>
        <v>1220052.58</v>
      </c>
      <c r="I464" s="613">
        <f>H464/F464</f>
        <v>0.23704149601709734</v>
      </c>
      <c r="J464" s="531" t="e">
        <f t="shared" si="269"/>
        <v>#DIV/0!</v>
      </c>
    </row>
    <row r="465" spans="1:108" ht="15" customHeight="1">
      <c r="A465" s="1000" t="s">
        <v>419</v>
      </c>
      <c r="B465" s="1001"/>
      <c r="C465" s="1001"/>
      <c r="D465" s="243">
        <v>57</v>
      </c>
      <c r="E465" s="135">
        <f t="shared" ref="E465" si="290">E474</f>
        <v>604000</v>
      </c>
      <c r="F465" s="135">
        <f t="shared" ref="F465:H465" si="291">F474</f>
        <v>320000</v>
      </c>
      <c r="G465" s="233">
        <f t="shared" si="291"/>
        <v>128076</v>
      </c>
      <c r="H465" s="233">
        <f t="shared" si="291"/>
        <v>124965.41</v>
      </c>
      <c r="I465" s="613">
        <f>H465/F465</f>
        <v>0.39051690625000002</v>
      </c>
      <c r="J465" s="531">
        <f t="shared" si="269"/>
        <v>0.10242624953098332</v>
      </c>
    </row>
    <row r="466" spans="1:108" ht="15" customHeight="1">
      <c r="A466" s="1006" t="s">
        <v>413</v>
      </c>
      <c r="B466" s="1007"/>
      <c r="C466" s="964"/>
      <c r="D466" s="243">
        <v>59</v>
      </c>
      <c r="E466" s="135">
        <f t="shared" ref="E466" si="292">E481</f>
        <v>420000</v>
      </c>
      <c r="F466" s="135">
        <f t="shared" ref="F466:H467" si="293">F481</f>
        <v>220000</v>
      </c>
      <c r="G466" s="233">
        <f t="shared" si="293"/>
        <v>155000</v>
      </c>
      <c r="H466" s="233">
        <f t="shared" si="293"/>
        <v>150032</v>
      </c>
      <c r="I466" s="613">
        <f>H466/F466</f>
        <v>0.68196363636363633</v>
      </c>
      <c r="J466" s="531">
        <f t="shared" si="269"/>
        <v>1.2005882267741128</v>
      </c>
    </row>
    <row r="467" spans="1:108" ht="15" customHeight="1">
      <c r="A467" s="983" t="s">
        <v>23</v>
      </c>
      <c r="B467" s="971"/>
      <c r="C467" s="971"/>
      <c r="D467" s="236">
        <v>70</v>
      </c>
      <c r="E467" s="135">
        <f t="shared" ref="E467" si="294">E482</f>
        <v>1562000</v>
      </c>
      <c r="F467" s="135">
        <f t="shared" si="293"/>
        <v>1562000</v>
      </c>
      <c r="G467" s="233">
        <f t="shared" si="293"/>
        <v>501470</v>
      </c>
      <c r="H467" s="233">
        <f t="shared" si="293"/>
        <v>501469.85</v>
      </c>
      <c r="I467" s="613">
        <f>H467/F467</f>
        <v>0.32104343790012801</v>
      </c>
      <c r="J467" s="531">
        <f t="shared" si="269"/>
        <v>3.342419283886104</v>
      </c>
      <c r="L467" s="100"/>
    </row>
    <row r="468" spans="1:108" ht="45.75" customHeight="1">
      <c r="A468" s="811" t="s">
        <v>390</v>
      </c>
      <c r="B468" s="812"/>
      <c r="C468" s="813"/>
      <c r="D468" s="143" t="s">
        <v>389</v>
      </c>
      <c r="E468" s="135">
        <f t="shared" ref="E468" si="295">E485</f>
        <v>0</v>
      </c>
      <c r="F468" s="135">
        <f t="shared" ref="F468:H468" si="296">F485</f>
        <v>0</v>
      </c>
      <c r="G468" s="233">
        <f t="shared" si="296"/>
        <v>0</v>
      </c>
      <c r="H468" s="233">
        <f t="shared" si="296"/>
        <v>-428312.74</v>
      </c>
      <c r="I468" s="613"/>
      <c r="J468" s="531">
        <f t="shared" si="269"/>
        <v>-0.85411463919515807</v>
      </c>
      <c r="L468" s="100"/>
      <c r="M468" s="491"/>
    </row>
    <row r="469" spans="1:108" ht="30" customHeight="1">
      <c r="A469" s="995" t="s">
        <v>48</v>
      </c>
      <c r="B469" s="996"/>
      <c r="C469" s="996"/>
      <c r="D469" s="273" t="s">
        <v>50</v>
      </c>
      <c r="E469" s="267">
        <f t="shared" ref="E469" si="297">E470+E471+E472+E474+E477+E481+E482+E485</f>
        <v>65692000</v>
      </c>
      <c r="F469" s="267">
        <f t="shared" ref="F469:G469" si="298">F470+F471+F472+F474+F477+F481+F482+F485</f>
        <v>37267000</v>
      </c>
      <c r="G469" s="455">
        <f t="shared" si="298"/>
        <v>26471952</v>
      </c>
      <c r="H469" s="455">
        <f>H470+H471+H472+H474+H477+H481+H482+H485+H486</f>
        <v>24607427.890000004</v>
      </c>
      <c r="I469" s="613">
        <f t="shared" ref="I469:I475" si="299">H469/F469</f>
        <v>0.66030074569994912</v>
      </c>
      <c r="J469" s="531">
        <f t="shared" si="269"/>
        <v>-57.452010159679126</v>
      </c>
      <c r="K469" s="100"/>
      <c r="L469" s="100"/>
    </row>
    <row r="470" spans="1:108" ht="14.45" customHeight="1">
      <c r="A470" s="803" t="s">
        <v>58</v>
      </c>
      <c r="B470" s="804"/>
      <c r="C470" s="805"/>
      <c r="D470" s="147">
        <v>10</v>
      </c>
      <c r="E470" s="137">
        <f t="shared" ref="E470" si="300">E488+E506</f>
        <v>45343000</v>
      </c>
      <c r="F470" s="137">
        <f t="shared" ref="F470:H471" si="301">F488+F506</f>
        <v>22280000</v>
      </c>
      <c r="G470" s="229">
        <f t="shared" si="301"/>
        <v>20288921</v>
      </c>
      <c r="H470" s="229">
        <f t="shared" si="301"/>
        <v>19658748</v>
      </c>
      <c r="I470" s="613">
        <f t="shared" si="299"/>
        <v>0.8823495511669659</v>
      </c>
      <c r="J470" s="531">
        <f t="shared" si="269"/>
        <v>0.79889487385184799</v>
      </c>
      <c r="K470" s="100"/>
      <c r="L470" s="100"/>
    </row>
    <row r="471" spans="1:108" s="2" customFormat="1" ht="13.15" customHeight="1">
      <c r="A471" s="803" t="s">
        <v>57</v>
      </c>
      <c r="B471" s="804"/>
      <c r="C471" s="805"/>
      <c r="D471" s="147">
        <v>20</v>
      </c>
      <c r="E471" s="137">
        <f t="shared" ref="E471" si="302">E489+E507</f>
        <v>10223000</v>
      </c>
      <c r="F471" s="137">
        <f t="shared" si="301"/>
        <v>6588000</v>
      </c>
      <c r="G471" s="229">
        <f t="shared" si="301"/>
        <v>3382116</v>
      </c>
      <c r="H471" s="229">
        <f t="shared" si="301"/>
        <v>3246476.97</v>
      </c>
      <c r="I471" s="613">
        <f t="shared" si="299"/>
        <v>0.49278642531876143</v>
      </c>
      <c r="J471" s="531">
        <f t="shared" si="269"/>
        <v>0.16514159345244164</v>
      </c>
      <c r="K471" s="100"/>
      <c r="L471" s="100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</row>
    <row r="472" spans="1:108" s="2" customFormat="1" ht="13.15" customHeight="1">
      <c r="A472" s="960" t="s">
        <v>438</v>
      </c>
      <c r="B472" s="961"/>
      <c r="C472" s="962"/>
      <c r="D472" s="236">
        <v>51</v>
      </c>
      <c r="E472" s="135">
        <f t="shared" ref="E472:H472" si="303">E473</f>
        <v>1730000</v>
      </c>
      <c r="F472" s="135">
        <f t="shared" si="303"/>
        <v>1150000</v>
      </c>
      <c r="G472" s="233">
        <f t="shared" si="303"/>
        <v>197066</v>
      </c>
      <c r="H472" s="233">
        <f t="shared" si="303"/>
        <v>133995.82</v>
      </c>
      <c r="I472" s="613">
        <f t="shared" si="299"/>
        <v>0.1165181043478261</v>
      </c>
      <c r="J472" s="531">
        <f t="shared" si="269"/>
        <v>4.1274224717509703E-2</v>
      </c>
      <c r="K472" s="100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</row>
    <row r="473" spans="1:108" s="2" customFormat="1" ht="13.9" customHeight="1">
      <c r="A473" s="551"/>
      <c r="B473" s="1005" t="s">
        <v>414</v>
      </c>
      <c r="C473" s="1005"/>
      <c r="D473" s="277" t="s">
        <v>399</v>
      </c>
      <c r="E473" s="135">
        <f t="shared" ref="E473" si="304">E491+E508</f>
        <v>1730000</v>
      </c>
      <c r="F473" s="135">
        <f t="shared" ref="F473:H473" si="305">F491+F508</f>
        <v>1150000</v>
      </c>
      <c r="G473" s="233">
        <f t="shared" si="305"/>
        <v>197066</v>
      </c>
      <c r="H473" s="233">
        <f t="shared" si="305"/>
        <v>133995.82</v>
      </c>
      <c r="I473" s="613">
        <f t="shared" si="299"/>
        <v>0.1165181043478261</v>
      </c>
      <c r="J473" s="531">
        <f t="shared" si="269"/>
        <v>1</v>
      </c>
      <c r="K473" s="100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</row>
    <row r="474" spans="1:108" s="2" customFormat="1" ht="13.15" customHeight="1">
      <c r="A474" s="1000" t="s">
        <v>419</v>
      </c>
      <c r="B474" s="1001"/>
      <c r="C474" s="1001"/>
      <c r="D474" s="243">
        <v>57</v>
      </c>
      <c r="E474" s="135">
        <f t="shared" ref="E474" si="306">E475+E476</f>
        <v>604000</v>
      </c>
      <c r="F474" s="135">
        <f t="shared" ref="F474:H474" si="307">F475+F476</f>
        <v>320000</v>
      </c>
      <c r="G474" s="233">
        <f t="shared" si="307"/>
        <v>128076</v>
      </c>
      <c r="H474" s="233">
        <f t="shared" si="307"/>
        <v>124965.41</v>
      </c>
      <c r="I474" s="613">
        <f t="shared" si="299"/>
        <v>0.39051690625000002</v>
      </c>
      <c r="J474" s="531">
        <f t="shared" si="269"/>
        <v>0.93260677833084638</v>
      </c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</row>
    <row r="475" spans="1:108" s="2" customFormat="1" ht="13.15" customHeight="1">
      <c r="A475" s="275"/>
      <c r="B475" s="222"/>
      <c r="C475" s="274" t="s">
        <v>418</v>
      </c>
      <c r="D475" s="243" t="s">
        <v>417</v>
      </c>
      <c r="E475" s="135">
        <f t="shared" ref="E475" si="308">E497</f>
        <v>404000</v>
      </c>
      <c r="F475" s="135">
        <f t="shared" ref="F475:H476" si="309">F497</f>
        <v>220000</v>
      </c>
      <c r="G475" s="233">
        <f t="shared" si="309"/>
        <v>123284</v>
      </c>
      <c r="H475" s="233">
        <f t="shared" si="309"/>
        <v>120238</v>
      </c>
      <c r="I475" s="613">
        <f t="shared" si="299"/>
        <v>0.5465363636363636</v>
      </c>
      <c r="J475" s="531">
        <f t="shared" si="269"/>
        <v>0.96217025175206483</v>
      </c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</row>
    <row r="476" spans="1:108" s="2" customFormat="1" ht="13.15" customHeight="1">
      <c r="A476" s="275"/>
      <c r="B476" s="222"/>
      <c r="C476" s="274" t="s">
        <v>416</v>
      </c>
      <c r="D476" s="243" t="s">
        <v>415</v>
      </c>
      <c r="E476" s="135">
        <f t="shared" ref="E476" si="310">E498</f>
        <v>200000</v>
      </c>
      <c r="F476" s="135">
        <f t="shared" si="309"/>
        <v>100000</v>
      </c>
      <c r="G476" s="233">
        <f t="shared" si="309"/>
        <v>4792</v>
      </c>
      <c r="H476" s="233">
        <f t="shared" si="309"/>
        <v>4727.41</v>
      </c>
      <c r="I476" s="613"/>
      <c r="J476" s="531">
        <f t="shared" si="269"/>
        <v>3.9317104409587647E-2</v>
      </c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</row>
    <row r="477" spans="1:108" s="2" customFormat="1" ht="13.15" customHeight="1">
      <c r="A477" s="997" t="s">
        <v>546</v>
      </c>
      <c r="B477" s="998"/>
      <c r="C477" s="999"/>
      <c r="D477" s="236">
        <v>58</v>
      </c>
      <c r="E477" s="135">
        <f t="shared" ref="E477" si="311">E478+E479+E480</f>
        <v>5810000</v>
      </c>
      <c r="F477" s="135">
        <f t="shared" ref="F477:H477" si="312">F478+F479+F480</f>
        <v>5147000</v>
      </c>
      <c r="G477" s="233">
        <f>G478+G479+G480</f>
        <v>1819303</v>
      </c>
      <c r="H477" s="233">
        <f t="shared" si="312"/>
        <v>1220052.58</v>
      </c>
      <c r="I477" s="613">
        <f>H477/F477</f>
        <v>0.23704149601709734</v>
      </c>
      <c r="J477" s="531">
        <f t="shared" si="269"/>
        <v>258.08055150706201</v>
      </c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</row>
    <row r="478" spans="1:108" s="2" customFormat="1" ht="13.15" customHeight="1">
      <c r="A478" s="551"/>
      <c r="B478" s="578"/>
      <c r="C478" s="252" t="s">
        <v>17</v>
      </c>
      <c r="D478" s="236"/>
      <c r="E478" s="135">
        <f t="shared" ref="E478" si="313">E493</f>
        <v>0</v>
      </c>
      <c r="F478" s="135">
        <f t="shared" ref="F478:H480" si="314">F493</f>
        <v>0</v>
      </c>
      <c r="G478" s="233">
        <f t="shared" si="314"/>
        <v>0</v>
      </c>
      <c r="H478" s="233">
        <f t="shared" si="314"/>
        <v>0</v>
      </c>
      <c r="I478" s="613"/>
      <c r="J478" s="531">
        <f t="shared" si="269"/>
        <v>0</v>
      </c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</row>
    <row r="479" spans="1:108" s="2" customFormat="1" ht="13.15" customHeight="1">
      <c r="A479" s="551"/>
      <c r="B479" s="388"/>
      <c r="C479" s="389" t="s">
        <v>16</v>
      </c>
      <c r="D479" s="390"/>
      <c r="E479" s="391">
        <f t="shared" ref="E479" si="315">E494</f>
        <v>100000</v>
      </c>
      <c r="F479" s="391">
        <f t="shared" si="314"/>
        <v>100000</v>
      </c>
      <c r="G479" s="456">
        <f t="shared" ref="G479" si="316">G494</f>
        <v>36387</v>
      </c>
      <c r="H479" s="456">
        <f t="shared" si="314"/>
        <v>24400.27</v>
      </c>
      <c r="I479" s="613">
        <f>H479/F479</f>
        <v>0.24400270000000002</v>
      </c>
      <c r="J479" s="531" t="e">
        <f t="shared" si="269"/>
        <v>#DIV/0!</v>
      </c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</row>
    <row r="480" spans="1:108" s="2" customFormat="1" ht="13.15" customHeight="1">
      <c r="A480" s="551"/>
      <c r="B480" s="578"/>
      <c r="C480" s="251" t="s">
        <v>545</v>
      </c>
      <c r="D480" s="236"/>
      <c r="E480" s="135">
        <f t="shared" ref="E480" si="317">E495</f>
        <v>5710000</v>
      </c>
      <c r="F480" s="135">
        <f t="shared" si="314"/>
        <v>5047000</v>
      </c>
      <c r="G480" s="233">
        <f t="shared" ref="G480" si="318">G495</f>
        <v>1782916</v>
      </c>
      <c r="H480" s="233">
        <f t="shared" si="314"/>
        <v>1195652.31</v>
      </c>
      <c r="I480" s="613">
        <f>H480/F480</f>
        <v>0.23690356845650884</v>
      </c>
      <c r="J480" s="531">
        <f t="shared" si="269"/>
        <v>49.001601621621404</v>
      </c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</row>
    <row r="481" spans="1:108" s="2" customFormat="1" ht="13.9" customHeight="1">
      <c r="A481" s="826" t="s">
        <v>429</v>
      </c>
      <c r="B481" s="827"/>
      <c r="C481" s="828"/>
      <c r="D481" s="243">
        <v>59</v>
      </c>
      <c r="E481" s="137">
        <f t="shared" ref="E481" si="319">E499+E509</f>
        <v>420000</v>
      </c>
      <c r="F481" s="137">
        <f t="shared" ref="F481:H481" si="320">F499+F509</f>
        <v>220000</v>
      </c>
      <c r="G481" s="229">
        <f t="shared" si="320"/>
        <v>155000</v>
      </c>
      <c r="H481" s="229">
        <f t="shared" si="320"/>
        <v>150032</v>
      </c>
      <c r="I481" s="613">
        <f>H481/F481</f>
        <v>0.68196363636363633</v>
      </c>
      <c r="J481" s="531">
        <f t="shared" si="269"/>
        <v>0.12548129480885625</v>
      </c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</row>
    <row r="482" spans="1:108" s="2" customFormat="1" ht="13.9" customHeight="1">
      <c r="A482" s="983" t="s">
        <v>23</v>
      </c>
      <c r="B482" s="971"/>
      <c r="C482" s="971"/>
      <c r="D482" s="236">
        <v>70</v>
      </c>
      <c r="E482" s="137">
        <f t="shared" ref="E482" si="321">E484+E483</f>
        <v>1562000</v>
      </c>
      <c r="F482" s="137">
        <f t="shared" ref="F482:H482" si="322">F484+F483</f>
        <v>1562000</v>
      </c>
      <c r="G482" s="229">
        <f t="shared" si="322"/>
        <v>501470</v>
      </c>
      <c r="H482" s="229">
        <f t="shared" si="322"/>
        <v>501469.85</v>
      </c>
      <c r="I482" s="613">
        <f>H482/F482</f>
        <v>0.32104343790012801</v>
      </c>
      <c r="J482" s="531">
        <f t="shared" si="269"/>
        <v>3.342419283886104</v>
      </c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</row>
    <row r="483" spans="1:108" s="2" customFormat="1" ht="13.15" customHeight="1">
      <c r="A483" s="551"/>
      <c r="B483" s="578"/>
      <c r="C483" s="252" t="s">
        <v>17</v>
      </c>
      <c r="D483" s="160"/>
      <c r="E483" s="137">
        <f t="shared" ref="E483" si="323">E501+E511</f>
        <v>215000</v>
      </c>
      <c r="F483" s="137">
        <f t="shared" ref="F483:H484" si="324">F501+F511</f>
        <v>215000</v>
      </c>
      <c r="G483" s="229">
        <f t="shared" si="324"/>
        <v>0</v>
      </c>
      <c r="H483" s="229">
        <f t="shared" si="324"/>
        <v>0</v>
      </c>
      <c r="I483" s="613"/>
      <c r="J483" s="531">
        <f t="shared" si="269"/>
        <v>0</v>
      </c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</row>
    <row r="484" spans="1:108" s="2" customFormat="1" ht="13.9" customHeight="1">
      <c r="A484" s="551"/>
      <c r="B484" s="578"/>
      <c r="C484" s="252" t="s">
        <v>16</v>
      </c>
      <c r="D484" s="160"/>
      <c r="E484" s="276">
        <f t="shared" ref="E484" si="325">E502+E512</f>
        <v>1347000</v>
      </c>
      <c r="F484" s="276">
        <f t="shared" si="324"/>
        <v>1347000</v>
      </c>
      <c r="G484" s="457">
        <f t="shared" si="324"/>
        <v>501470</v>
      </c>
      <c r="H484" s="457">
        <f t="shared" si="324"/>
        <v>501469.85</v>
      </c>
      <c r="I484" s="613">
        <f>H484/F484</f>
        <v>0.37228645137342242</v>
      </c>
      <c r="J484" s="531" t="e">
        <f t="shared" si="269"/>
        <v>#DIV/0!</v>
      </c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</row>
    <row r="485" spans="1:108" s="2" customFormat="1" ht="39" customHeight="1">
      <c r="A485" s="811" t="s">
        <v>390</v>
      </c>
      <c r="B485" s="812"/>
      <c r="C485" s="813"/>
      <c r="D485" s="143" t="s">
        <v>389</v>
      </c>
      <c r="E485" s="225">
        <f t="shared" ref="E485" si="326">E503</f>
        <v>0</v>
      </c>
      <c r="F485" s="225">
        <f t="shared" ref="F485:G485" si="327">F503</f>
        <v>0</v>
      </c>
      <c r="G485" s="422">
        <f t="shared" si="327"/>
        <v>0</v>
      </c>
      <c r="H485" s="422">
        <f>H503+H513</f>
        <v>-428312.74</v>
      </c>
      <c r="I485" s="613"/>
      <c r="J485" s="531">
        <f t="shared" si="269"/>
        <v>-0.85411463919515807</v>
      </c>
      <c r="L485" s="424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</row>
    <row r="486" spans="1:108" s="2" customFormat="1" ht="40.5" customHeight="1">
      <c r="A486" s="1002" t="s">
        <v>697</v>
      </c>
      <c r="B486" s="1003"/>
      <c r="C486" s="1004"/>
      <c r="D486" s="143" t="s">
        <v>13</v>
      </c>
      <c r="E486" s="406"/>
      <c r="F486" s="406"/>
      <c r="G486" s="407"/>
      <c r="H486" s="229">
        <f>H504</f>
        <v>0</v>
      </c>
      <c r="I486" s="613"/>
      <c r="J486" s="531">
        <f t="shared" si="269"/>
        <v>0</v>
      </c>
      <c r="L486" s="424"/>
      <c r="M486" s="49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</row>
    <row r="487" spans="1:108" s="2" customFormat="1" ht="23.25" customHeight="1">
      <c r="A487" s="995" t="s">
        <v>46</v>
      </c>
      <c r="B487" s="996"/>
      <c r="C487" s="996"/>
      <c r="D487" s="273" t="s">
        <v>411</v>
      </c>
      <c r="E487" s="267">
        <f t="shared" ref="E487" si="328">E488+E489+E490+E492+E496+E499+E500+E503</f>
        <v>46194000</v>
      </c>
      <c r="F487" s="267">
        <f t="shared" ref="F487:G487" si="329">F488+F489+F490+F492+F496+F499+F500+F503</f>
        <v>26179000</v>
      </c>
      <c r="G487" s="455">
        <f t="shared" si="329"/>
        <v>19484854</v>
      </c>
      <c r="H487" s="455">
        <f>H488+H489+H490+H492+H496+H499+H500+H503+H504</f>
        <v>17799696.820000004</v>
      </c>
      <c r="I487" s="613">
        <f>H487/F487</f>
        <v>0.67992271744528077</v>
      </c>
      <c r="J487" s="531" t="e">
        <f t="shared" si="269"/>
        <v>#DIV/0!</v>
      </c>
      <c r="K487" s="424"/>
      <c r="L487" s="424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</row>
    <row r="488" spans="1:108" s="2" customFormat="1" ht="13.9" customHeight="1">
      <c r="A488" s="803" t="s">
        <v>58</v>
      </c>
      <c r="B488" s="804"/>
      <c r="C488" s="805"/>
      <c r="D488" s="147">
        <v>10</v>
      </c>
      <c r="E488" s="225">
        <v>33444000</v>
      </c>
      <c r="F488" s="225">
        <f>8162000+8170000</f>
        <v>16332000</v>
      </c>
      <c r="G488" s="441">
        <v>15308500</v>
      </c>
      <c r="H488" s="441">
        <v>14772115</v>
      </c>
      <c r="I488" s="613">
        <f>H488/F488</f>
        <v>0.90448903992162621</v>
      </c>
      <c r="J488" s="531">
        <f t="shared" si="269"/>
        <v>0.82990823660557134</v>
      </c>
      <c r="K488" s="424"/>
      <c r="L488" s="100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</row>
    <row r="489" spans="1:108" s="2" customFormat="1" ht="13.9" customHeight="1">
      <c r="A489" s="803" t="s">
        <v>57</v>
      </c>
      <c r="B489" s="804"/>
      <c r="C489" s="805"/>
      <c r="D489" s="147">
        <v>20</v>
      </c>
      <c r="E489" s="225">
        <v>5839000</v>
      </c>
      <c r="F489" s="225">
        <f>1825000+2150000</f>
        <v>3975000</v>
      </c>
      <c r="G489" s="441">
        <v>2167975</v>
      </c>
      <c r="H489" s="441">
        <v>2047699.37</v>
      </c>
      <c r="I489" s="613">
        <f>H489/F489</f>
        <v>0.51514449559748432</v>
      </c>
      <c r="J489" s="531">
        <f t="shared" si="269"/>
        <v>0.13861924104977522</v>
      </c>
      <c r="K489" s="424"/>
      <c r="L489" s="100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</row>
    <row r="490" spans="1:108" s="2" customFormat="1" ht="13.9" customHeight="1">
      <c r="A490" s="960" t="s">
        <v>438</v>
      </c>
      <c r="B490" s="961"/>
      <c r="C490" s="962"/>
      <c r="D490" s="236">
        <v>51</v>
      </c>
      <c r="E490" s="225">
        <f t="shared" ref="E490:G490" si="330">E491</f>
        <v>0</v>
      </c>
      <c r="F490" s="225">
        <f t="shared" si="330"/>
        <v>0</v>
      </c>
      <c r="G490" s="422">
        <f t="shared" si="330"/>
        <v>0</v>
      </c>
      <c r="H490" s="422">
        <v>0</v>
      </c>
      <c r="I490" s="613"/>
      <c r="J490" s="531">
        <f t="shared" si="269"/>
        <v>0</v>
      </c>
      <c r="K490" s="100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</row>
    <row r="491" spans="1:108" s="2" customFormat="1" ht="13.9" customHeight="1">
      <c r="A491" s="551"/>
      <c r="B491" s="1005" t="s">
        <v>414</v>
      </c>
      <c r="C491" s="1005"/>
      <c r="D491" s="277" t="s">
        <v>399</v>
      </c>
      <c r="E491" s="225"/>
      <c r="F491" s="225"/>
      <c r="G491" s="422"/>
      <c r="H491" s="422"/>
      <c r="I491" s="613"/>
      <c r="J491" s="531" t="e">
        <f t="shared" si="269"/>
        <v>#DIV/0!</v>
      </c>
      <c r="K491" s="100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</row>
    <row r="492" spans="1:108" s="2" customFormat="1" ht="27.75" customHeight="1">
      <c r="A492" s="997" t="s">
        <v>546</v>
      </c>
      <c r="B492" s="998"/>
      <c r="C492" s="999"/>
      <c r="D492" s="236">
        <v>58</v>
      </c>
      <c r="E492" s="225">
        <f t="shared" ref="E492" si="331">E493+E494+E495</f>
        <v>5810000</v>
      </c>
      <c r="F492" s="225">
        <f t="shared" ref="F492:H492" si="332">F493+F494+F495</f>
        <v>5147000</v>
      </c>
      <c r="G492" s="422">
        <f t="shared" si="332"/>
        <v>1819303</v>
      </c>
      <c r="H492" s="422">
        <f t="shared" si="332"/>
        <v>1220052.58</v>
      </c>
      <c r="I492" s="616">
        <f>H492/F492</f>
        <v>0.23704149601709734</v>
      </c>
      <c r="J492" s="531" t="e">
        <f t="shared" si="269"/>
        <v>#DIV/0!</v>
      </c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</row>
    <row r="493" spans="1:108" s="2" customFormat="1" ht="13.9" customHeight="1">
      <c r="A493" s="551"/>
      <c r="B493" s="578"/>
      <c r="C493" s="252" t="s">
        <v>17</v>
      </c>
      <c r="D493" s="236"/>
      <c r="E493" s="225"/>
      <c r="F493" s="225"/>
      <c r="G493" s="422"/>
      <c r="H493" s="422"/>
      <c r="I493" s="613"/>
      <c r="J493" s="531">
        <f t="shared" si="269"/>
        <v>0</v>
      </c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</row>
    <row r="494" spans="1:108" s="2" customFormat="1" ht="13.9" customHeight="1">
      <c r="A494" s="551"/>
      <c r="B494" s="578"/>
      <c r="C494" s="252" t="s">
        <v>16</v>
      </c>
      <c r="D494" s="236"/>
      <c r="E494" s="276">
        <v>100000</v>
      </c>
      <c r="F494" s="276">
        <v>100000</v>
      </c>
      <c r="G494" s="457">
        <v>36387</v>
      </c>
      <c r="H494" s="457">
        <v>24400.27</v>
      </c>
      <c r="I494" s="613">
        <f t="shared" ref="I494:I500" si="333">H494/F494</f>
        <v>0.24400270000000002</v>
      </c>
      <c r="J494" s="531" t="e">
        <f t="shared" si="269"/>
        <v>#DIV/0!</v>
      </c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</row>
    <row r="495" spans="1:108" s="2" customFormat="1" ht="13.9" customHeight="1">
      <c r="A495" s="551"/>
      <c r="B495" s="578"/>
      <c r="C495" s="251" t="s">
        <v>545</v>
      </c>
      <c r="D495" s="236"/>
      <c r="E495" s="225">
        <v>5710000</v>
      </c>
      <c r="F495" s="225">
        <f>3000000+2047000</f>
        <v>5047000</v>
      </c>
      <c r="G495" s="422">
        <v>1782916</v>
      </c>
      <c r="H495" s="422">
        <v>1195652.31</v>
      </c>
      <c r="I495" s="613">
        <f t="shared" si="333"/>
        <v>0.23690356845650884</v>
      </c>
      <c r="J495" s="531">
        <f t="shared" si="269"/>
        <v>49.001601621621404</v>
      </c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</row>
    <row r="496" spans="1:108" s="2" customFormat="1" ht="13.9" customHeight="1">
      <c r="A496" s="1000" t="s">
        <v>419</v>
      </c>
      <c r="B496" s="1001"/>
      <c r="C496" s="1001"/>
      <c r="D496" s="243">
        <v>57</v>
      </c>
      <c r="E496" s="225">
        <f t="shared" ref="E496" si="334">E497+E498</f>
        <v>604000</v>
      </c>
      <c r="F496" s="225">
        <f t="shared" ref="F496:H496" si="335">F497+F498</f>
        <v>320000</v>
      </c>
      <c r="G496" s="422">
        <f t="shared" si="335"/>
        <v>128076</v>
      </c>
      <c r="H496" s="422">
        <f t="shared" si="335"/>
        <v>124965.41</v>
      </c>
      <c r="I496" s="613">
        <f t="shared" si="333"/>
        <v>0.39051690625000002</v>
      </c>
      <c r="J496" s="531">
        <f t="shared" si="269"/>
        <v>0.10451651283139327</v>
      </c>
      <c r="M496" s="100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</row>
    <row r="497" spans="1:108" s="2" customFormat="1" ht="13.9" customHeight="1">
      <c r="A497" s="275"/>
      <c r="B497" s="222"/>
      <c r="C497" s="274" t="s">
        <v>418</v>
      </c>
      <c r="D497" s="243" t="s">
        <v>417</v>
      </c>
      <c r="E497" s="225">
        <v>404000</v>
      </c>
      <c r="F497" s="225">
        <f>100000+120000</f>
        <v>220000</v>
      </c>
      <c r="G497" s="422">
        <v>123284</v>
      </c>
      <c r="H497" s="422">
        <v>120238</v>
      </c>
      <c r="I497" s="613">
        <f t="shared" si="333"/>
        <v>0.5465363636363636</v>
      </c>
      <c r="J497" s="531">
        <f t="shared" si="269"/>
        <v>0.96217025175206483</v>
      </c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</row>
    <row r="498" spans="1:108" s="2" customFormat="1" ht="13.9" customHeight="1">
      <c r="A498" s="275"/>
      <c r="B498" s="222"/>
      <c r="C498" s="274" t="s">
        <v>416</v>
      </c>
      <c r="D498" s="243" t="s">
        <v>415</v>
      </c>
      <c r="E498" s="225">
        <v>200000</v>
      </c>
      <c r="F498" s="225">
        <f>20000+80000</f>
        <v>100000</v>
      </c>
      <c r="G498" s="422">
        <v>4792</v>
      </c>
      <c r="H498" s="422">
        <v>4727.41</v>
      </c>
      <c r="I498" s="613">
        <f t="shared" si="333"/>
        <v>4.7274099999999999E-2</v>
      </c>
      <c r="J498" s="531">
        <f t="shared" si="269"/>
        <v>3.9317104409587647E-2</v>
      </c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</row>
    <row r="499" spans="1:108" s="2" customFormat="1" ht="13.9" customHeight="1">
      <c r="A499" s="826" t="s">
        <v>429</v>
      </c>
      <c r="B499" s="827"/>
      <c r="C499" s="828"/>
      <c r="D499" s="243">
        <v>59</v>
      </c>
      <c r="E499" s="225">
        <v>192000</v>
      </c>
      <c r="F499" s="225">
        <f>40000+60000</f>
        <v>100000</v>
      </c>
      <c r="G499" s="422">
        <v>61000</v>
      </c>
      <c r="H499" s="422">
        <v>57406</v>
      </c>
      <c r="I499" s="613">
        <f t="shared" si="333"/>
        <v>0.57406000000000001</v>
      </c>
      <c r="J499" s="531">
        <f t="shared" si="269"/>
        <v>12.143224302525061</v>
      </c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</row>
    <row r="500" spans="1:108" s="2" customFormat="1" ht="13.9" customHeight="1">
      <c r="A500" s="983" t="s">
        <v>23</v>
      </c>
      <c r="B500" s="971"/>
      <c r="C500" s="971"/>
      <c r="D500" s="236">
        <v>70</v>
      </c>
      <c r="E500" s="225">
        <f t="shared" ref="E500" si="336">E502</f>
        <v>305000</v>
      </c>
      <c r="F500" s="225">
        <f t="shared" ref="F500:H500" si="337">F502</f>
        <v>305000</v>
      </c>
      <c r="G500" s="422">
        <f t="shared" si="337"/>
        <v>0</v>
      </c>
      <c r="H500" s="422">
        <f t="shared" si="337"/>
        <v>0</v>
      </c>
      <c r="I500" s="613">
        <f t="shared" si="333"/>
        <v>0</v>
      </c>
      <c r="J500" s="531">
        <f t="shared" si="269"/>
        <v>0</v>
      </c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</row>
    <row r="501" spans="1:108" s="2" customFormat="1" ht="13.9" customHeight="1">
      <c r="A501" s="551"/>
      <c r="B501" s="578"/>
      <c r="C501" s="252" t="s">
        <v>17</v>
      </c>
      <c r="D501" s="160"/>
      <c r="E501" s="225"/>
      <c r="F501" s="225"/>
      <c r="G501" s="422"/>
      <c r="H501" s="422"/>
      <c r="I501" s="613"/>
      <c r="J501" s="531" t="e">
        <f t="shared" si="269"/>
        <v>#DIV/0!</v>
      </c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</row>
    <row r="502" spans="1:108" s="2" customFormat="1" ht="14.45" customHeight="1">
      <c r="A502" s="551"/>
      <c r="B502" s="578"/>
      <c r="C502" s="252" t="s">
        <v>16</v>
      </c>
      <c r="D502" s="160"/>
      <c r="E502" s="66">
        <v>305000</v>
      </c>
      <c r="F502" s="66">
        <v>305000</v>
      </c>
      <c r="G502" s="444"/>
      <c r="H502" s="444"/>
      <c r="I502" s="613">
        <f>H502/F502</f>
        <v>0</v>
      </c>
      <c r="J502" s="531" t="e">
        <f t="shared" si="269"/>
        <v>#DIV/0!</v>
      </c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</row>
    <row r="503" spans="1:108" s="2" customFormat="1" ht="40.5" customHeight="1">
      <c r="A503" s="811" t="s">
        <v>390</v>
      </c>
      <c r="B503" s="812"/>
      <c r="C503" s="813"/>
      <c r="D503" s="143" t="s">
        <v>389</v>
      </c>
      <c r="E503" s="406"/>
      <c r="F503" s="406"/>
      <c r="G503" s="407"/>
      <c r="H503" s="229">
        <v>-422541.54</v>
      </c>
      <c r="I503" s="613"/>
      <c r="J503" s="531" t="e">
        <f t="shared" si="269"/>
        <v>#DIV/0!</v>
      </c>
      <c r="L503" s="424"/>
      <c r="N503" s="100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</row>
    <row r="504" spans="1:108" s="2" customFormat="1" ht="40.5" customHeight="1">
      <c r="A504" s="1002" t="s">
        <v>697</v>
      </c>
      <c r="B504" s="1003"/>
      <c r="C504" s="1004"/>
      <c r="D504" s="143" t="s">
        <v>13</v>
      </c>
      <c r="E504" s="406"/>
      <c r="F504" s="406"/>
      <c r="G504" s="407"/>
      <c r="H504" s="229"/>
      <c r="I504" s="613"/>
      <c r="J504" s="531">
        <f t="shared" si="269"/>
        <v>0</v>
      </c>
      <c r="L504" s="424"/>
      <c r="M504" s="49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</row>
    <row r="505" spans="1:108" s="2" customFormat="1" ht="25.5" customHeight="1">
      <c r="A505" s="995" t="s">
        <v>45</v>
      </c>
      <c r="B505" s="996"/>
      <c r="C505" s="996"/>
      <c r="D505" s="273" t="s">
        <v>544</v>
      </c>
      <c r="E505" s="267">
        <f t="shared" ref="E505" si="338">E506+E507+E509+E510+E508</f>
        <v>19498000</v>
      </c>
      <c r="F505" s="267">
        <f t="shared" ref="F505:G505" si="339">F506+F507+F509+F510+F508</f>
        <v>11088000</v>
      </c>
      <c r="G505" s="455">
        <f t="shared" si="339"/>
        <v>6987098</v>
      </c>
      <c r="H505" s="455">
        <f>H506+H507+H509+H510+H508+H513</f>
        <v>6807731.0699999994</v>
      </c>
      <c r="I505" s="613">
        <f t="shared" ref="I505:I510" si="340">H505/F505</f>
        <v>0.61397285984848482</v>
      </c>
      <c r="J505" s="531" t="e">
        <f t="shared" si="269"/>
        <v>#DIV/0!</v>
      </c>
      <c r="K505" s="424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</row>
    <row r="506" spans="1:108" s="2" customFormat="1" ht="14.45" customHeight="1">
      <c r="A506" s="803" t="s">
        <v>58</v>
      </c>
      <c r="B506" s="804"/>
      <c r="C506" s="805"/>
      <c r="D506" s="147">
        <v>10</v>
      </c>
      <c r="E506" s="137">
        <v>11899000</v>
      </c>
      <c r="F506" s="137">
        <f>2820000+3128000</f>
        <v>5948000</v>
      </c>
      <c r="G506" s="441">
        <v>4980421</v>
      </c>
      <c r="H506" s="441">
        <v>4886633</v>
      </c>
      <c r="I506" s="613">
        <f t="shared" si="340"/>
        <v>0.82155901143241428</v>
      </c>
      <c r="J506" s="531">
        <f t="shared" si="269"/>
        <v>0.7178064100584397</v>
      </c>
      <c r="K506" s="424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</row>
    <row r="507" spans="1:108" s="2" customFormat="1" ht="14.45" customHeight="1">
      <c r="A507" s="803" t="s">
        <v>57</v>
      </c>
      <c r="B507" s="804"/>
      <c r="C507" s="805"/>
      <c r="D507" s="147">
        <v>20</v>
      </c>
      <c r="E507" s="137">
        <v>4384000</v>
      </c>
      <c r="F507" s="137">
        <f>1250000+1363000</f>
        <v>2613000</v>
      </c>
      <c r="G507" s="441">
        <v>1214141</v>
      </c>
      <c r="H507" s="441">
        <v>1198777.6000000001</v>
      </c>
      <c r="I507" s="613">
        <f t="shared" si="340"/>
        <v>0.45877443551473407</v>
      </c>
      <c r="J507" s="531">
        <f t="shared" si="269"/>
        <v>0.24531770648624526</v>
      </c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</row>
    <row r="508" spans="1:108" s="2" customFormat="1" ht="14.45" customHeight="1">
      <c r="A508" s="836" t="s">
        <v>414</v>
      </c>
      <c r="B508" s="837"/>
      <c r="C508" s="838"/>
      <c r="D508" s="147">
        <v>51</v>
      </c>
      <c r="E508" s="137">
        <v>1730000</v>
      </c>
      <c r="F508" s="137">
        <f>550000+600000</f>
        <v>1150000</v>
      </c>
      <c r="G508" s="441">
        <v>197066</v>
      </c>
      <c r="H508" s="441">
        <v>133995.82</v>
      </c>
      <c r="I508" s="613">
        <f t="shared" si="340"/>
        <v>0.1165181043478261</v>
      </c>
      <c r="J508" s="531">
        <f t="shared" si="269"/>
        <v>0.11177704688509361</v>
      </c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</row>
    <row r="509" spans="1:108" s="2" customFormat="1" ht="14.45" customHeight="1">
      <c r="A509" s="826" t="s">
        <v>429</v>
      </c>
      <c r="B509" s="827"/>
      <c r="C509" s="828"/>
      <c r="D509" s="160">
        <v>59</v>
      </c>
      <c r="E509" s="137">
        <v>228000</v>
      </c>
      <c r="F509" s="137">
        <v>120000</v>
      </c>
      <c r="G509" s="441">
        <v>94000</v>
      </c>
      <c r="H509" s="441">
        <v>92626</v>
      </c>
      <c r="I509" s="613">
        <f t="shared" si="340"/>
        <v>0.77188333333333337</v>
      </c>
      <c r="J509" s="531">
        <f t="shared" si="269"/>
        <v>0.69126036916673961</v>
      </c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</row>
    <row r="510" spans="1:108" s="2" customFormat="1" ht="14.45" customHeight="1">
      <c r="A510" s="983" t="s">
        <v>23</v>
      </c>
      <c r="B510" s="971"/>
      <c r="C510" s="971"/>
      <c r="D510" s="236">
        <v>70</v>
      </c>
      <c r="E510" s="137">
        <f t="shared" ref="E510" si="341">E511+E512</f>
        <v>1257000</v>
      </c>
      <c r="F510" s="137">
        <f t="shared" ref="F510:H510" si="342">F511+F512</f>
        <v>1257000</v>
      </c>
      <c r="G510" s="441">
        <f t="shared" si="342"/>
        <v>501470</v>
      </c>
      <c r="H510" s="441">
        <f t="shared" si="342"/>
        <v>501469.85</v>
      </c>
      <c r="I510" s="613">
        <f t="shared" si="340"/>
        <v>0.3989418058870326</v>
      </c>
      <c r="J510" s="531">
        <f t="shared" si="269"/>
        <v>5.4139210372897457</v>
      </c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</row>
    <row r="511" spans="1:108" s="2" customFormat="1" ht="14.45" customHeight="1">
      <c r="A511" s="551"/>
      <c r="B511" s="578"/>
      <c r="C511" s="252" t="s">
        <v>17</v>
      </c>
      <c r="D511" s="160"/>
      <c r="E511" s="137">
        <v>215000</v>
      </c>
      <c r="F511" s="137">
        <v>215000</v>
      </c>
      <c r="G511" s="441"/>
      <c r="H511" s="441"/>
      <c r="I511" s="613"/>
      <c r="J511" s="531">
        <f t="shared" si="269"/>
        <v>0</v>
      </c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</row>
    <row r="512" spans="1:108" s="2" customFormat="1" ht="14.45" customHeight="1">
      <c r="A512" s="551"/>
      <c r="B512" s="578"/>
      <c r="C512" s="252" t="s">
        <v>16</v>
      </c>
      <c r="D512" s="160"/>
      <c r="E512" s="137">
        <v>1042000</v>
      </c>
      <c r="F512" s="137">
        <f>503000+539000</f>
        <v>1042000</v>
      </c>
      <c r="G512" s="441">
        <v>501470</v>
      </c>
      <c r="H512" s="441">
        <v>501469.85</v>
      </c>
      <c r="I512" s="613">
        <f>H512/F512</f>
        <v>0.48125705374280225</v>
      </c>
      <c r="J512" s="531" t="e">
        <f t="shared" si="269"/>
        <v>#DIV/0!</v>
      </c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</row>
    <row r="513" spans="1:108" s="2" customFormat="1" ht="14.45" customHeight="1">
      <c r="A513" s="811" t="s">
        <v>390</v>
      </c>
      <c r="B513" s="812"/>
      <c r="C513" s="813"/>
      <c r="D513" s="143" t="s">
        <v>389</v>
      </c>
      <c r="E513" s="406"/>
      <c r="F513" s="406"/>
      <c r="G513" s="443"/>
      <c r="H513" s="441">
        <v>-5771.2</v>
      </c>
      <c r="I513" s="613"/>
      <c r="J513" s="531">
        <f t="shared" ref="J513:J576" si="343">(H513/H512)</f>
        <v>-1.1508568261880551E-2</v>
      </c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</row>
    <row r="514" spans="1:108" s="2" customFormat="1" ht="17.25" customHeight="1">
      <c r="A514" s="995" t="s">
        <v>543</v>
      </c>
      <c r="B514" s="996"/>
      <c r="C514" s="996"/>
      <c r="D514" s="273" t="s">
        <v>411</v>
      </c>
      <c r="E514" s="267">
        <f t="shared" ref="E514" si="344">E515+E516+E517</f>
        <v>7000000</v>
      </c>
      <c r="F514" s="267">
        <f t="shared" ref="F514:H514" si="345">F515+F516+F517</f>
        <v>3006000</v>
      </c>
      <c r="G514" s="455">
        <f t="shared" si="345"/>
        <v>2175432</v>
      </c>
      <c r="H514" s="455">
        <f t="shared" si="345"/>
        <v>2051462.16</v>
      </c>
      <c r="I514" s="613">
        <f>H514/F514</f>
        <v>0.6824558083832335</v>
      </c>
      <c r="J514" s="531">
        <f t="shared" si="343"/>
        <v>-355.46544219573053</v>
      </c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</row>
    <row r="515" spans="1:108" s="2" customFormat="1" ht="15" customHeight="1">
      <c r="A515" s="803" t="s">
        <v>57</v>
      </c>
      <c r="B515" s="804"/>
      <c r="C515" s="805"/>
      <c r="D515" s="147">
        <v>20</v>
      </c>
      <c r="E515" s="225">
        <v>7000000</v>
      </c>
      <c r="F515" s="225">
        <v>3006000</v>
      </c>
      <c r="G515" s="422">
        <v>2175432</v>
      </c>
      <c r="H515" s="422">
        <v>2051462.16</v>
      </c>
      <c r="I515" s="613">
        <f>H515/F515</f>
        <v>0.6824558083832335</v>
      </c>
      <c r="J515" s="531">
        <f t="shared" si="343"/>
        <v>1</v>
      </c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</row>
    <row r="516" spans="1:108" s="2" customFormat="1" ht="15" customHeight="1">
      <c r="A516" s="960" t="s">
        <v>438</v>
      </c>
      <c r="B516" s="961"/>
      <c r="C516" s="962"/>
      <c r="D516" s="147">
        <v>51</v>
      </c>
      <c r="E516" s="225"/>
      <c r="F516" s="225"/>
      <c r="G516" s="441"/>
      <c r="H516" s="441"/>
      <c r="I516" s="613"/>
      <c r="J516" s="531">
        <f t="shared" si="343"/>
        <v>0</v>
      </c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</row>
    <row r="517" spans="1:108" s="2" customFormat="1" ht="15" customHeight="1">
      <c r="A517" s="826" t="s">
        <v>405</v>
      </c>
      <c r="B517" s="827"/>
      <c r="C517" s="828"/>
      <c r="D517" s="147">
        <v>55</v>
      </c>
      <c r="E517" s="225"/>
      <c r="F517" s="225"/>
      <c r="G517" s="441"/>
      <c r="H517" s="441"/>
      <c r="I517" s="613"/>
      <c r="J517" s="531" t="e">
        <f t="shared" si="343"/>
        <v>#DIV/0!</v>
      </c>
      <c r="M517" s="49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</row>
    <row r="518" spans="1:108" s="2" customFormat="1" ht="16.899999999999999" customHeight="1">
      <c r="A518" s="993" t="s">
        <v>410</v>
      </c>
      <c r="B518" s="994"/>
      <c r="C518" s="994"/>
      <c r="D518" s="268" t="s">
        <v>542</v>
      </c>
      <c r="E518" s="267">
        <f t="shared" ref="E518:H518" si="346">E519</f>
        <v>1791000</v>
      </c>
      <c r="F518" s="267">
        <f t="shared" si="346"/>
        <v>1003000</v>
      </c>
      <c r="G518" s="455">
        <f t="shared" si="346"/>
        <v>928000</v>
      </c>
      <c r="H518" s="455">
        <f t="shared" si="346"/>
        <v>800000</v>
      </c>
      <c r="I518" s="613">
        <f>H518/F518</f>
        <v>0.79760717846460616</v>
      </c>
      <c r="J518" s="531" t="e">
        <f t="shared" si="343"/>
        <v>#DIV/0!</v>
      </c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</row>
    <row r="519" spans="1:108" s="2" customFormat="1" ht="16.149999999999999" customHeight="1">
      <c r="A519" s="960" t="s">
        <v>438</v>
      </c>
      <c r="B519" s="961"/>
      <c r="C519" s="962"/>
      <c r="D519" s="236">
        <v>51</v>
      </c>
      <c r="E519" s="137">
        <f t="shared" ref="E519" si="347">E520+E521</f>
        <v>1791000</v>
      </c>
      <c r="F519" s="137">
        <f t="shared" ref="F519:H519" si="348">F520+F521</f>
        <v>1003000</v>
      </c>
      <c r="G519" s="441">
        <f t="shared" si="348"/>
        <v>928000</v>
      </c>
      <c r="H519" s="441">
        <f t="shared" si="348"/>
        <v>800000</v>
      </c>
      <c r="I519" s="613">
        <f>H519/F519</f>
        <v>0.79760717846460616</v>
      </c>
      <c r="J519" s="531">
        <f t="shared" si="343"/>
        <v>1</v>
      </c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</row>
    <row r="520" spans="1:108" s="2" customFormat="1" ht="13.9" customHeight="1">
      <c r="A520" s="272"/>
      <c r="B520" s="984" t="s">
        <v>522</v>
      </c>
      <c r="C520" s="964"/>
      <c r="D520" s="160" t="s">
        <v>399</v>
      </c>
      <c r="E520" s="137">
        <v>1791000</v>
      </c>
      <c r="F520" s="137">
        <f>507000+496000</f>
        <v>1003000</v>
      </c>
      <c r="G520" s="441">
        <v>928000</v>
      </c>
      <c r="H520" s="441">
        <v>800000</v>
      </c>
      <c r="I520" s="613">
        <f>H520/F520</f>
        <v>0.79760717846460616</v>
      </c>
      <c r="J520" s="531">
        <f t="shared" si="343"/>
        <v>1</v>
      </c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</row>
    <row r="521" spans="1:108" s="2" customFormat="1" ht="13.9" customHeight="1">
      <c r="A521" s="272"/>
      <c r="B521" s="984" t="s">
        <v>534</v>
      </c>
      <c r="C521" s="964"/>
      <c r="D521" s="160" t="s">
        <v>39</v>
      </c>
      <c r="E521" s="137"/>
      <c r="F521" s="137"/>
      <c r="G521" s="229"/>
      <c r="H521" s="229"/>
      <c r="I521" s="613"/>
      <c r="J521" s="531">
        <f t="shared" si="343"/>
        <v>0</v>
      </c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</row>
    <row r="522" spans="1:108" s="2" customFormat="1" ht="13.5" hidden="1" customHeight="1">
      <c r="A522" s="272"/>
      <c r="B522" s="559"/>
      <c r="C522" s="252" t="s">
        <v>17</v>
      </c>
      <c r="D522" s="160"/>
      <c r="E522" s="137"/>
      <c r="F522" s="137"/>
      <c r="G522" s="229"/>
      <c r="H522" s="229"/>
      <c r="I522" s="613" t="e">
        <f t="shared" ref="I522:I536" si="349">H522/F522</f>
        <v>#DIV/0!</v>
      </c>
      <c r="J522" s="531" t="e">
        <f t="shared" si="343"/>
        <v>#DIV/0!</v>
      </c>
      <c r="L522" s="238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</row>
    <row r="523" spans="1:108" s="2" customFormat="1" ht="14.45" hidden="1" customHeight="1">
      <c r="A523" s="272"/>
      <c r="B523" s="559"/>
      <c r="C523" s="252" t="s">
        <v>16</v>
      </c>
      <c r="D523" s="160"/>
      <c r="E523" s="137"/>
      <c r="F523" s="137"/>
      <c r="G523" s="229"/>
      <c r="H523" s="229"/>
      <c r="I523" s="613" t="e">
        <f t="shared" si="349"/>
        <v>#DIV/0!</v>
      </c>
      <c r="J523" s="531" t="e">
        <f t="shared" si="343"/>
        <v>#DIV/0!</v>
      </c>
      <c r="M523" s="238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</row>
    <row r="524" spans="1:108" s="237" customFormat="1" ht="17.45" customHeight="1">
      <c r="A524" s="820" t="s">
        <v>541</v>
      </c>
      <c r="B524" s="821"/>
      <c r="C524" s="821"/>
      <c r="D524" s="161" t="s">
        <v>37</v>
      </c>
      <c r="E524" s="269">
        <f t="shared" ref="E524" si="350">E526</f>
        <v>4826000</v>
      </c>
      <c r="F524" s="269">
        <f t="shared" ref="F524:H524" si="351">F526</f>
        <v>1766000</v>
      </c>
      <c r="G524" s="458">
        <f t="shared" si="351"/>
        <v>1718089</v>
      </c>
      <c r="H524" s="458">
        <f t="shared" si="351"/>
        <v>1718087.01</v>
      </c>
      <c r="I524" s="613">
        <f t="shared" si="349"/>
        <v>0.97286920158550394</v>
      </c>
      <c r="J524" s="531" t="e">
        <f t="shared" si="343"/>
        <v>#DIV/0!</v>
      </c>
      <c r="K524" s="238"/>
      <c r="L524" s="2"/>
      <c r="M524" s="491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/>
      <c r="AE524" s="238"/>
    </row>
    <row r="525" spans="1:108" ht="15" customHeight="1">
      <c r="A525" s="993" t="s">
        <v>540</v>
      </c>
      <c r="B525" s="994"/>
      <c r="C525" s="994"/>
      <c r="D525" s="268" t="s">
        <v>407</v>
      </c>
      <c r="E525" s="267">
        <f t="shared" ref="E525:H526" si="352">E526</f>
        <v>4826000</v>
      </c>
      <c r="F525" s="267">
        <f t="shared" si="352"/>
        <v>1766000</v>
      </c>
      <c r="G525" s="455">
        <f t="shared" si="352"/>
        <v>1718089</v>
      </c>
      <c r="H525" s="455">
        <f t="shared" si="352"/>
        <v>1718087.01</v>
      </c>
      <c r="I525" s="613">
        <f t="shared" si="349"/>
        <v>0.97286920158550394</v>
      </c>
      <c r="J525" s="531">
        <f t="shared" si="343"/>
        <v>1</v>
      </c>
    </row>
    <row r="526" spans="1:108" ht="13.15" customHeight="1">
      <c r="A526" s="826" t="s">
        <v>405</v>
      </c>
      <c r="B526" s="827"/>
      <c r="C526" s="828"/>
      <c r="D526" s="236">
        <v>55</v>
      </c>
      <c r="E526" s="137">
        <f t="shared" si="352"/>
        <v>4826000</v>
      </c>
      <c r="F526" s="137">
        <f t="shared" si="352"/>
        <v>1766000</v>
      </c>
      <c r="G526" s="441">
        <f t="shared" si="352"/>
        <v>1718089</v>
      </c>
      <c r="H526" s="441">
        <f t="shared" si="352"/>
        <v>1718087.01</v>
      </c>
      <c r="I526" s="613">
        <f t="shared" si="349"/>
        <v>0.97286920158550394</v>
      </c>
      <c r="J526" s="531">
        <f t="shared" si="343"/>
        <v>1</v>
      </c>
    </row>
    <row r="527" spans="1:108" ht="14.45" customHeight="1">
      <c r="A527" s="272"/>
      <c r="B527" s="984" t="s">
        <v>539</v>
      </c>
      <c r="C527" s="964"/>
      <c r="D527" s="236" t="s">
        <v>538</v>
      </c>
      <c r="E527" s="137">
        <v>4826000</v>
      </c>
      <c r="F527" s="137">
        <f>502000+1264000</f>
        <v>1766000</v>
      </c>
      <c r="G527" s="441">
        <v>1718089</v>
      </c>
      <c r="H527" s="441">
        <v>1718087.01</v>
      </c>
      <c r="I527" s="613">
        <f t="shared" si="349"/>
        <v>0.97286920158550394</v>
      </c>
      <c r="J527" s="531">
        <f t="shared" si="343"/>
        <v>1</v>
      </c>
    </row>
    <row r="528" spans="1:108" ht="15" hidden="1" customHeight="1">
      <c r="A528" s="987" t="s">
        <v>537</v>
      </c>
      <c r="B528" s="988"/>
      <c r="C528" s="988"/>
      <c r="D528" s="271">
        <v>74.02</v>
      </c>
      <c r="E528" s="404"/>
      <c r="F528" s="404"/>
      <c r="G528" s="459"/>
      <c r="H528" s="459"/>
      <c r="I528" s="613" t="e">
        <f t="shared" si="349"/>
        <v>#DIV/0!</v>
      </c>
      <c r="J528" s="531">
        <f t="shared" si="343"/>
        <v>0</v>
      </c>
    </row>
    <row r="529" spans="1:13" ht="15" hidden="1" customHeight="1">
      <c r="A529" s="979" t="s">
        <v>531</v>
      </c>
      <c r="B529" s="980"/>
      <c r="C529" s="980"/>
      <c r="D529" s="236">
        <v>56</v>
      </c>
      <c r="E529" s="406"/>
      <c r="F529" s="406"/>
      <c r="G529" s="407"/>
      <c r="H529" s="407"/>
      <c r="I529" s="613" t="e">
        <f t="shared" si="349"/>
        <v>#DIV/0!</v>
      </c>
      <c r="J529" s="531" t="e">
        <f t="shared" si="343"/>
        <v>#DIV/0!</v>
      </c>
    </row>
    <row r="530" spans="1:13" ht="15" hidden="1" customHeight="1">
      <c r="A530" s="551"/>
      <c r="B530" s="578"/>
      <c r="C530" s="252" t="s">
        <v>17</v>
      </c>
      <c r="D530" s="236"/>
      <c r="E530" s="406"/>
      <c r="F530" s="406"/>
      <c r="G530" s="407"/>
      <c r="H530" s="407"/>
      <c r="I530" s="613" t="e">
        <f t="shared" si="349"/>
        <v>#DIV/0!</v>
      </c>
      <c r="J530" s="531" t="e">
        <f t="shared" si="343"/>
        <v>#DIV/0!</v>
      </c>
    </row>
    <row r="531" spans="1:13" ht="15" hidden="1" customHeight="1">
      <c r="A531" s="551"/>
      <c r="B531" s="578"/>
      <c r="C531" s="252" t="s">
        <v>16</v>
      </c>
      <c r="D531" s="236"/>
      <c r="E531" s="406"/>
      <c r="F531" s="406"/>
      <c r="G531" s="407"/>
      <c r="H531" s="407"/>
      <c r="I531" s="613" t="e">
        <f t="shared" si="349"/>
        <v>#DIV/0!</v>
      </c>
      <c r="J531" s="531" t="e">
        <f t="shared" si="343"/>
        <v>#DIV/0!</v>
      </c>
    </row>
    <row r="532" spans="1:13" ht="15" hidden="1" customHeight="1">
      <c r="A532" s="551"/>
      <c r="B532" s="578"/>
      <c r="C532" s="251" t="s">
        <v>15</v>
      </c>
      <c r="D532" s="236"/>
      <c r="E532" s="406"/>
      <c r="F532" s="406"/>
      <c r="G532" s="407"/>
      <c r="H532" s="407"/>
      <c r="I532" s="613" t="e">
        <f t="shared" si="349"/>
        <v>#DIV/0!</v>
      </c>
      <c r="J532" s="531" t="e">
        <f t="shared" si="343"/>
        <v>#DIV/0!</v>
      </c>
    </row>
    <row r="533" spans="1:13" ht="15" hidden="1" customHeight="1">
      <c r="A533" s="983" t="s">
        <v>31</v>
      </c>
      <c r="B533" s="971"/>
      <c r="C533" s="971"/>
      <c r="D533" s="236">
        <v>70</v>
      </c>
      <c r="E533" s="406"/>
      <c r="F533" s="406"/>
      <c r="G533" s="407"/>
      <c r="H533" s="407"/>
      <c r="I533" s="613" t="e">
        <f t="shared" si="349"/>
        <v>#DIV/0!</v>
      </c>
      <c r="J533" s="531" t="e">
        <f t="shared" si="343"/>
        <v>#DIV/0!</v>
      </c>
    </row>
    <row r="534" spans="1:13" ht="15" hidden="1" customHeight="1">
      <c r="A534" s="551"/>
      <c r="B534" s="578"/>
      <c r="C534" s="252" t="s">
        <v>17</v>
      </c>
      <c r="D534" s="160"/>
      <c r="E534" s="406"/>
      <c r="F534" s="406"/>
      <c r="G534" s="407"/>
      <c r="H534" s="407"/>
      <c r="I534" s="613" t="e">
        <f t="shared" si="349"/>
        <v>#DIV/0!</v>
      </c>
      <c r="J534" s="531" t="e">
        <f t="shared" si="343"/>
        <v>#DIV/0!</v>
      </c>
    </row>
    <row r="535" spans="1:13" ht="12.75" hidden="1" customHeight="1">
      <c r="A535" s="551"/>
      <c r="B535" s="578"/>
      <c r="C535" s="252" t="s">
        <v>16</v>
      </c>
      <c r="D535" s="160"/>
      <c r="E535" s="406"/>
      <c r="F535" s="406"/>
      <c r="G535" s="407"/>
      <c r="H535" s="407"/>
      <c r="I535" s="613" t="e">
        <f t="shared" si="349"/>
        <v>#DIV/0!</v>
      </c>
      <c r="J535" s="531" t="e">
        <f t="shared" si="343"/>
        <v>#DIV/0!</v>
      </c>
      <c r="M535" s="491"/>
    </row>
    <row r="536" spans="1:13" ht="12.75" customHeight="1">
      <c r="A536" s="820" t="s">
        <v>663</v>
      </c>
      <c r="B536" s="821"/>
      <c r="C536" s="821"/>
      <c r="D536" s="161" t="s">
        <v>406</v>
      </c>
      <c r="E536" s="269">
        <f t="shared" ref="E536" si="353">E538+E537</f>
        <v>6490000</v>
      </c>
      <c r="F536" s="269">
        <f t="shared" ref="F536:H536" si="354">F538+F537</f>
        <v>3750000</v>
      </c>
      <c r="G536" s="458">
        <f t="shared" si="354"/>
        <v>2130830</v>
      </c>
      <c r="H536" s="458">
        <f t="shared" si="354"/>
        <v>1835734.19</v>
      </c>
      <c r="I536" s="613">
        <f t="shared" si="349"/>
        <v>0.48952911733333332</v>
      </c>
      <c r="J536" s="531" t="e">
        <f t="shared" si="343"/>
        <v>#DIV/0!</v>
      </c>
    </row>
    <row r="537" spans="1:13" ht="12.75" customHeight="1">
      <c r="A537" s="263" t="s">
        <v>57</v>
      </c>
      <c r="B537" s="262"/>
      <c r="C537" s="262"/>
      <c r="D537" s="402">
        <v>20</v>
      </c>
      <c r="E537" s="137">
        <f>400000+1411000</f>
        <v>1811000</v>
      </c>
      <c r="F537" s="137">
        <v>1411000</v>
      </c>
      <c r="G537" s="229"/>
      <c r="H537" s="229"/>
      <c r="I537" s="613"/>
      <c r="J537" s="531">
        <f t="shared" si="343"/>
        <v>0</v>
      </c>
    </row>
    <row r="538" spans="1:13" ht="12.75" customHeight="1">
      <c r="A538" s="826" t="s">
        <v>405</v>
      </c>
      <c r="B538" s="827"/>
      <c r="C538" s="828"/>
      <c r="D538" s="160">
        <v>55</v>
      </c>
      <c r="E538" s="137">
        <f t="shared" ref="E538:H538" si="355">E539</f>
        <v>4679000</v>
      </c>
      <c r="F538" s="137">
        <f t="shared" si="355"/>
        <v>2339000</v>
      </c>
      <c r="G538" s="441">
        <f t="shared" si="355"/>
        <v>2130830</v>
      </c>
      <c r="H538" s="441">
        <f t="shared" si="355"/>
        <v>1835734.19</v>
      </c>
      <c r="I538" s="613">
        <f t="shared" ref="I538:I547" si="356">H538/F538</f>
        <v>0.78483719110731076</v>
      </c>
      <c r="J538" s="531" t="e">
        <f t="shared" si="343"/>
        <v>#DIV/0!</v>
      </c>
    </row>
    <row r="539" spans="1:13" ht="12.75" customHeight="1">
      <c r="A539" s="551"/>
      <c r="B539" s="818" t="s">
        <v>404</v>
      </c>
      <c r="C539" s="819"/>
      <c r="D539" s="160" t="s">
        <v>403</v>
      </c>
      <c r="E539" s="137">
        <v>4679000</v>
      </c>
      <c r="F539" s="137">
        <f>1169000+1170000</f>
        <v>2339000</v>
      </c>
      <c r="G539" s="441">
        <v>2130830</v>
      </c>
      <c r="H539" s="441">
        <v>1835734.19</v>
      </c>
      <c r="I539" s="613">
        <f t="shared" si="356"/>
        <v>0.78483719110731076</v>
      </c>
      <c r="J539" s="531">
        <f t="shared" si="343"/>
        <v>1</v>
      </c>
    </row>
    <row r="540" spans="1:13" ht="14.45" hidden="1" customHeight="1">
      <c r="A540" s="987" t="s">
        <v>676</v>
      </c>
      <c r="B540" s="988"/>
      <c r="C540" s="988"/>
      <c r="D540" s="161">
        <v>80.02</v>
      </c>
      <c r="E540" s="269">
        <f t="shared" ref="E540:H542" si="357">E541</f>
        <v>0</v>
      </c>
      <c r="F540" s="269">
        <f t="shared" si="357"/>
        <v>0</v>
      </c>
      <c r="G540" s="458">
        <f t="shared" si="357"/>
        <v>0</v>
      </c>
      <c r="H540" s="458">
        <f t="shared" si="357"/>
        <v>0</v>
      </c>
      <c r="I540" s="613" t="e">
        <f t="shared" si="356"/>
        <v>#DIV/0!</v>
      </c>
      <c r="J540" s="531">
        <f t="shared" si="343"/>
        <v>0</v>
      </c>
    </row>
    <row r="541" spans="1:13" ht="15.75" hidden="1" customHeight="1">
      <c r="A541" s="989" t="s">
        <v>401</v>
      </c>
      <c r="B541" s="990"/>
      <c r="C541" s="990"/>
      <c r="D541" s="268" t="s">
        <v>400</v>
      </c>
      <c r="E541" s="267"/>
      <c r="F541" s="267"/>
      <c r="G541" s="455"/>
      <c r="H541" s="455"/>
      <c r="I541" s="613" t="e">
        <f t="shared" si="356"/>
        <v>#DIV/0!</v>
      </c>
      <c r="J541" s="531" t="e">
        <f t="shared" si="343"/>
        <v>#DIV/0!</v>
      </c>
    </row>
    <row r="542" spans="1:13" ht="14.25" hidden="1" customHeight="1">
      <c r="A542" s="991" t="s">
        <v>536</v>
      </c>
      <c r="B542" s="992"/>
      <c r="C542" s="992"/>
      <c r="D542" s="243" t="s">
        <v>535</v>
      </c>
      <c r="E542" s="179">
        <f t="shared" si="357"/>
        <v>0</v>
      </c>
      <c r="F542" s="179">
        <f t="shared" si="357"/>
        <v>0</v>
      </c>
      <c r="G542" s="326">
        <f t="shared" si="357"/>
        <v>0</v>
      </c>
      <c r="H542" s="326">
        <f t="shared" si="357"/>
        <v>0</v>
      </c>
      <c r="I542" s="613" t="e">
        <f t="shared" si="356"/>
        <v>#DIV/0!</v>
      </c>
      <c r="J542" s="531" t="e">
        <f t="shared" si="343"/>
        <v>#DIV/0!</v>
      </c>
    </row>
    <row r="543" spans="1:13" ht="15" hidden="1" customHeight="1">
      <c r="A543" s="960" t="s">
        <v>438</v>
      </c>
      <c r="B543" s="961"/>
      <c r="C543" s="962"/>
      <c r="D543" s="160">
        <v>51.02</v>
      </c>
      <c r="E543" s="137">
        <f t="shared" ref="E543" si="358">E544+E545</f>
        <v>0</v>
      </c>
      <c r="F543" s="137">
        <f t="shared" ref="F543:H543" si="359">F544+F545</f>
        <v>0</v>
      </c>
      <c r="G543" s="229">
        <f t="shared" si="359"/>
        <v>0</v>
      </c>
      <c r="H543" s="229">
        <f t="shared" si="359"/>
        <v>0</v>
      </c>
      <c r="I543" s="613" t="e">
        <f t="shared" si="356"/>
        <v>#DIV/0!</v>
      </c>
      <c r="J543" s="531" t="e">
        <f t="shared" si="343"/>
        <v>#DIV/0!</v>
      </c>
    </row>
    <row r="544" spans="1:13" ht="13.9" hidden="1" customHeight="1">
      <c r="A544" s="551"/>
      <c r="B544" s="984" t="s">
        <v>522</v>
      </c>
      <c r="C544" s="964"/>
      <c r="D544" s="160" t="s">
        <v>399</v>
      </c>
      <c r="E544" s="137">
        <v>0</v>
      </c>
      <c r="F544" s="137">
        <v>0</v>
      </c>
      <c r="G544" s="229">
        <v>0</v>
      </c>
      <c r="H544" s="229">
        <v>0</v>
      </c>
      <c r="I544" s="613" t="e">
        <f t="shared" si="356"/>
        <v>#DIV/0!</v>
      </c>
      <c r="J544" s="531" t="e">
        <f t="shared" si="343"/>
        <v>#DIV/0!</v>
      </c>
      <c r="L544" s="238"/>
    </row>
    <row r="545" spans="1:31" ht="13.9" hidden="1" customHeight="1">
      <c r="A545" s="551"/>
      <c r="B545" s="984" t="s">
        <v>534</v>
      </c>
      <c r="C545" s="964"/>
      <c r="D545" s="160" t="s">
        <v>677</v>
      </c>
      <c r="E545" s="137"/>
      <c r="F545" s="137"/>
      <c r="G545" s="229"/>
      <c r="H545" s="229"/>
      <c r="I545" s="613" t="e">
        <f t="shared" si="356"/>
        <v>#DIV/0!</v>
      </c>
      <c r="J545" s="531" t="e">
        <f t="shared" si="343"/>
        <v>#DIV/0!</v>
      </c>
      <c r="M545" s="491"/>
    </row>
    <row r="546" spans="1:31" s="237" customFormat="1" ht="15" customHeight="1">
      <c r="A546" s="985" t="s">
        <v>30</v>
      </c>
      <c r="B546" s="986"/>
      <c r="C546" s="986"/>
      <c r="D546" s="266" t="s">
        <v>29</v>
      </c>
      <c r="E546" s="265">
        <f t="shared" ref="E546" si="360">E568+E597+E603</f>
        <v>215778000</v>
      </c>
      <c r="F546" s="265">
        <f t="shared" ref="F546:H546" si="361">F568+F597+F603</f>
        <v>123975000</v>
      </c>
      <c r="G546" s="335">
        <f t="shared" si="361"/>
        <v>37325305</v>
      </c>
      <c r="H546" s="335">
        <f t="shared" si="361"/>
        <v>27012008.689999994</v>
      </c>
      <c r="I546" s="613">
        <f t="shared" si="356"/>
        <v>0.21788270772333126</v>
      </c>
      <c r="J546" s="531" t="e">
        <f t="shared" si="343"/>
        <v>#DIV/0!</v>
      </c>
      <c r="K546" s="238"/>
      <c r="L546" s="2"/>
      <c r="M546" s="2"/>
      <c r="N546" s="491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  <c r="Z546" s="238"/>
      <c r="AA546" s="238"/>
      <c r="AB546" s="238"/>
      <c r="AC546" s="238"/>
      <c r="AD546" s="238"/>
      <c r="AE546" s="238"/>
    </row>
    <row r="547" spans="1:31" ht="13.9" customHeight="1">
      <c r="A547" s="263" t="s">
        <v>57</v>
      </c>
      <c r="B547" s="262"/>
      <c r="C547" s="262"/>
      <c r="D547" s="236">
        <v>20</v>
      </c>
      <c r="E547" s="135">
        <f>E569+E598</f>
        <v>28842000</v>
      </c>
      <c r="F547" s="135">
        <f>F569+F598</f>
        <v>11923000</v>
      </c>
      <c r="G547" s="233">
        <f t="shared" ref="G547:H547" si="362">G569+G598</f>
        <v>6291805</v>
      </c>
      <c r="H547" s="233">
        <f t="shared" si="362"/>
        <v>4496345.0199999996</v>
      </c>
      <c r="I547" s="613">
        <f t="shared" si="356"/>
        <v>0.37711524113058792</v>
      </c>
      <c r="J547" s="531">
        <f t="shared" si="343"/>
        <v>0.16645726245692247</v>
      </c>
    </row>
    <row r="548" spans="1:31" ht="13.15" customHeight="1">
      <c r="A548" s="975" t="s">
        <v>10</v>
      </c>
      <c r="B548" s="976"/>
      <c r="C548" s="976"/>
      <c r="D548" s="243" t="s">
        <v>9</v>
      </c>
      <c r="E548" s="135">
        <f t="shared" ref="E548" si="363">E600</f>
        <v>0</v>
      </c>
      <c r="F548" s="135">
        <f t="shared" ref="F548:H548" si="364">F600</f>
        <v>0</v>
      </c>
      <c r="G548" s="233">
        <f t="shared" si="364"/>
        <v>0</v>
      </c>
      <c r="H548" s="233">
        <f t="shared" si="364"/>
        <v>0</v>
      </c>
      <c r="I548" s="613"/>
      <c r="J548" s="531">
        <f t="shared" si="343"/>
        <v>0</v>
      </c>
      <c r="N548" s="100"/>
    </row>
    <row r="549" spans="1:31" ht="13.9" customHeight="1">
      <c r="A549" s="960" t="s">
        <v>438</v>
      </c>
      <c r="B549" s="961"/>
      <c r="C549" s="962"/>
      <c r="D549" s="160" t="s">
        <v>399</v>
      </c>
      <c r="E549" s="135">
        <f t="shared" ref="E549" si="365">E604</f>
        <v>7965000</v>
      </c>
      <c r="F549" s="135">
        <f t="shared" ref="F549:H549" si="366">F604</f>
        <v>3343000</v>
      </c>
      <c r="G549" s="233">
        <f t="shared" si="366"/>
        <v>3250000</v>
      </c>
      <c r="H549" s="233">
        <f t="shared" si="366"/>
        <v>3215712.01</v>
      </c>
      <c r="I549" s="613">
        <f>H549/F549</f>
        <v>0.96192402333233618</v>
      </c>
      <c r="J549" s="531" t="e">
        <f t="shared" si="343"/>
        <v>#DIV/0!</v>
      </c>
    </row>
    <row r="550" spans="1:31" ht="13.9" customHeight="1">
      <c r="A550" s="979" t="s">
        <v>533</v>
      </c>
      <c r="B550" s="980"/>
      <c r="C550" s="980"/>
      <c r="D550" s="160">
        <v>56</v>
      </c>
      <c r="E550" s="137">
        <f t="shared" ref="E550" si="367">E573</f>
        <v>0</v>
      </c>
      <c r="F550" s="137">
        <f t="shared" ref="F550:H550" si="368">F573</f>
        <v>0</v>
      </c>
      <c r="G550" s="229">
        <f t="shared" si="368"/>
        <v>0</v>
      </c>
      <c r="H550" s="229">
        <f t="shared" si="368"/>
        <v>0</v>
      </c>
      <c r="I550" s="613"/>
      <c r="J550" s="531">
        <f t="shared" si="343"/>
        <v>0</v>
      </c>
    </row>
    <row r="551" spans="1:31" ht="15" customHeight="1">
      <c r="A551" s="551"/>
      <c r="B551" s="578"/>
      <c r="C551" s="252" t="s">
        <v>17</v>
      </c>
      <c r="D551" s="578"/>
      <c r="E551" s="137"/>
      <c r="F551" s="137"/>
      <c r="G551" s="229"/>
      <c r="H551" s="229"/>
      <c r="I551" s="613"/>
      <c r="J551" s="531" t="e">
        <f t="shared" si="343"/>
        <v>#DIV/0!</v>
      </c>
    </row>
    <row r="552" spans="1:31" ht="15" customHeight="1">
      <c r="A552" s="551"/>
      <c r="B552" s="578"/>
      <c r="C552" s="252" t="s">
        <v>16</v>
      </c>
      <c r="D552" s="403"/>
      <c r="E552" s="137"/>
      <c r="F552" s="137"/>
      <c r="G552" s="229"/>
      <c r="H552" s="229"/>
      <c r="I552" s="613"/>
      <c r="J552" s="531" t="e">
        <f t="shared" si="343"/>
        <v>#DIV/0!</v>
      </c>
    </row>
    <row r="553" spans="1:31" ht="15" customHeight="1">
      <c r="A553" s="551"/>
      <c r="B553" s="578"/>
      <c r="C553" s="251" t="s">
        <v>42</v>
      </c>
      <c r="D553" s="578"/>
      <c r="E553" s="137"/>
      <c r="F553" s="137"/>
      <c r="G553" s="229"/>
      <c r="H553" s="229"/>
      <c r="I553" s="613"/>
      <c r="J553" s="531" t="e">
        <f t="shared" si="343"/>
        <v>#DIV/0!</v>
      </c>
    </row>
    <row r="554" spans="1:31" ht="15" customHeight="1">
      <c r="A554" s="826" t="s">
        <v>405</v>
      </c>
      <c r="B554" s="827"/>
      <c r="C554" s="828"/>
      <c r="D554" s="261" t="s">
        <v>669</v>
      </c>
      <c r="E554" s="137"/>
      <c r="F554" s="137"/>
      <c r="G554" s="229"/>
      <c r="H554" s="229"/>
      <c r="I554" s="613"/>
      <c r="J554" s="531" t="e">
        <f t="shared" si="343"/>
        <v>#DIV/0!</v>
      </c>
    </row>
    <row r="555" spans="1:31" ht="15" customHeight="1">
      <c r="A555" s="979" t="s">
        <v>530</v>
      </c>
      <c r="B555" s="980"/>
      <c r="C555" s="980"/>
      <c r="D555" s="578" t="s">
        <v>529</v>
      </c>
      <c r="E555" s="137">
        <f t="shared" ref="E555" si="369">E578</f>
        <v>126217000</v>
      </c>
      <c r="F555" s="137">
        <f t="shared" ref="F555:H557" si="370">F578</f>
        <v>55955000</v>
      </c>
      <c r="G555" s="229">
        <f t="shared" si="370"/>
        <v>18907000</v>
      </c>
      <c r="H555" s="229">
        <f t="shared" si="370"/>
        <v>11605813.310000001</v>
      </c>
      <c r="I555" s="613">
        <f>H555/F555</f>
        <v>0.20741333768206596</v>
      </c>
      <c r="J555" s="531" t="e">
        <f t="shared" si="343"/>
        <v>#DIV/0!</v>
      </c>
    </row>
    <row r="556" spans="1:31" ht="15" customHeight="1">
      <c r="A556" s="551"/>
      <c r="B556" s="578"/>
      <c r="C556" s="252" t="s">
        <v>17</v>
      </c>
      <c r="D556" s="578"/>
      <c r="E556" s="137">
        <f t="shared" ref="E556" si="371">E579</f>
        <v>0</v>
      </c>
      <c r="F556" s="137">
        <f t="shared" si="370"/>
        <v>0</v>
      </c>
      <c r="G556" s="229">
        <f t="shared" si="370"/>
        <v>0</v>
      </c>
      <c r="H556" s="229">
        <f t="shared" si="370"/>
        <v>0</v>
      </c>
      <c r="I556" s="613"/>
      <c r="J556" s="531">
        <f t="shared" si="343"/>
        <v>0</v>
      </c>
    </row>
    <row r="557" spans="1:31" ht="15" customHeight="1">
      <c r="A557" s="551"/>
      <c r="B557" s="578"/>
      <c r="C557" s="252" t="s">
        <v>16</v>
      </c>
      <c r="D557" s="578"/>
      <c r="E557" s="66">
        <f t="shared" ref="E557" si="372">E580</f>
        <v>3373000</v>
      </c>
      <c r="F557" s="66">
        <f t="shared" si="370"/>
        <v>1380000</v>
      </c>
      <c r="G557" s="444">
        <f t="shared" si="370"/>
        <v>490840</v>
      </c>
      <c r="H557" s="444">
        <f t="shared" si="370"/>
        <v>274813.09000000003</v>
      </c>
      <c r="I557" s="613">
        <f>H557/F557</f>
        <v>0.19913992028985508</v>
      </c>
      <c r="J557" s="531" t="e">
        <f t="shared" si="343"/>
        <v>#DIV/0!</v>
      </c>
    </row>
    <row r="558" spans="1:31" ht="15" customHeight="1">
      <c r="A558" s="551"/>
      <c r="B558" s="578"/>
      <c r="C558" s="251" t="s">
        <v>42</v>
      </c>
      <c r="D558" s="578"/>
      <c r="E558" s="137"/>
      <c r="F558" s="137"/>
      <c r="G558" s="229"/>
      <c r="H558" s="229"/>
      <c r="I558" s="613"/>
      <c r="J558" s="531">
        <f t="shared" si="343"/>
        <v>0</v>
      </c>
      <c r="L558" s="246"/>
    </row>
    <row r="559" spans="1:31" ht="13.15" customHeight="1">
      <c r="A559" s="983" t="s">
        <v>23</v>
      </c>
      <c r="B559" s="971"/>
      <c r="C559" s="971"/>
      <c r="D559" s="236">
        <v>70</v>
      </c>
      <c r="E559" s="137">
        <f>E582+E602</f>
        <v>51952000</v>
      </c>
      <c r="F559" s="137">
        <f t="shared" ref="F559:H559" si="373">F582+F602</f>
        <v>51952000</v>
      </c>
      <c r="G559" s="229">
        <f t="shared" si="373"/>
        <v>8876500</v>
      </c>
      <c r="H559" s="229">
        <f t="shared" si="373"/>
        <v>7869305.4699999997</v>
      </c>
      <c r="I559" s="613">
        <f>H559/F559</f>
        <v>0.15147261837850323</v>
      </c>
      <c r="J559" s="531" t="e">
        <f t="shared" si="343"/>
        <v>#DIV/0!</v>
      </c>
      <c r="M559" s="246"/>
    </row>
    <row r="560" spans="1:31" s="245" customFormat="1" ht="15" customHeight="1">
      <c r="A560" s="551"/>
      <c r="B560" s="578"/>
      <c r="C560" s="252" t="s">
        <v>17</v>
      </c>
      <c r="D560" s="236"/>
      <c r="E560" s="151"/>
      <c r="F560" s="151"/>
      <c r="G560" s="460"/>
      <c r="H560" s="460"/>
      <c r="I560" s="613"/>
      <c r="J560" s="531">
        <f t="shared" si="343"/>
        <v>0</v>
      </c>
      <c r="K560" s="246"/>
      <c r="L560" s="2"/>
      <c r="M560" s="2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  <c r="AA560" s="246"/>
      <c r="AB560" s="246"/>
      <c r="AC560" s="246"/>
      <c r="AD560" s="246"/>
      <c r="AE560" s="246"/>
    </row>
    <row r="561" spans="1:108" ht="15" customHeight="1">
      <c r="A561" s="551"/>
      <c r="B561" s="578"/>
      <c r="C561" s="252" t="s">
        <v>16</v>
      </c>
      <c r="D561" s="236"/>
      <c r="E561" s="66">
        <f t="shared" ref="E561" si="374">E584</f>
        <v>20070000</v>
      </c>
      <c r="F561" s="66">
        <f t="shared" ref="F561:H562" si="375">F584</f>
        <v>20070000</v>
      </c>
      <c r="G561" s="444">
        <f t="shared" si="375"/>
        <v>8876500</v>
      </c>
      <c r="H561" s="444">
        <f t="shared" si="375"/>
        <v>7869305.4699999997</v>
      </c>
      <c r="I561" s="613">
        <f>H561/F561</f>
        <v>0.3920929481813652</v>
      </c>
      <c r="J561" s="531" t="e">
        <f t="shared" si="343"/>
        <v>#DIV/0!</v>
      </c>
    </row>
    <row r="562" spans="1:108" ht="15" customHeight="1">
      <c r="A562" s="538"/>
      <c r="B562" s="578"/>
      <c r="C562" s="252" t="s">
        <v>528</v>
      </c>
      <c r="D562" s="236"/>
      <c r="E562" s="137">
        <f t="shared" ref="E562" si="376">E585</f>
        <v>27382000</v>
      </c>
      <c r="F562" s="137">
        <f t="shared" si="375"/>
        <v>27382000</v>
      </c>
      <c r="G562" s="229">
        <f t="shared" si="375"/>
        <v>0</v>
      </c>
      <c r="H562" s="229">
        <f t="shared" si="375"/>
        <v>0</v>
      </c>
      <c r="I562" s="613">
        <f>H562/F562</f>
        <v>0</v>
      </c>
      <c r="J562" s="531">
        <f t="shared" si="343"/>
        <v>0</v>
      </c>
    </row>
    <row r="563" spans="1:108" ht="13.9" customHeight="1">
      <c r="A563" s="960" t="s">
        <v>103</v>
      </c>
      <c r="B563" s="961"/>
      <c r="C563" s="962"/>
      <c r="D563" s="250">
        <v>81</v>
      </c>
      <c r="E563" s="137">
        <f t="shared" ref="E563" si="377">E564+E565</f>
        <v>0</v>
      </c>
      <c r="F563" s="137">
        <f t="shared" ref="F563:H563" si="378">F564+F565</f>
        <v>0</v>
      </c>
      <c r="G563" s="229">
        <f t="shared" si="378"/>
        <v>0</v>
      </c>
      <c r="H563" s="229">
        <f t="shared" si="378"/>
        <v>0</v>
      </c>
      <c r="I563" s="613"/>
      <c r="J563" s="531" t="e">
        <f t="shared" si="343"/>
        <v>#DIV/0!</v>
      </c>
    </row>
    <row r="564" spans="1:108" ht="13.15" customHeight="1">
      <c r="A564" s="253"/>
      <c r="B564" s="971" t="s">
        <v>527</v>
      </c>
      <c r="C564" s="972"/>
      <c r="D564" s="524" t="s">
        <v>391</v>
      </c>
      <c r="E564" s="137">
        <f t="shared" ref="E564" si="379">E589</f>
        <v>0</v>
      </c>
      <c r="F564" s="137">
        <f t="shared" ref="F564:H565" si="380">F589</f>
        <v>0</v>
      </c>
      <c r="G564" s="229">
        <f t="shared" si="380"/>
        <v>0</v>
      </c>
      <c r="H564" s="229">
        <f t="shared" si="380"/>
        <v>0</v>
      </c>
      <c r="I564" s="613"/>
      <c r="J564" s="531" t="e">
        <f t="shared" si="343"/>
        <v>#DIV/0!</v>
      </c>
    </row>
    <row r="565" spans="1:108" ht="13.15" customHeight="1">
      <c r="A565" s="253"/>
      <c r="B565" s="971" t="s">
        <v>102</v>
      </c>
      <c r="C565" s="972"/>
      <c r="D565" s="524" t="s">
        <v>709</v>
      </c>
      <c r="E565" s="137">
        <f t="shared" ref="E565" si="381">E590</f>
        <v>0</v>
      </c>
      <c r="F565" s="137">
        <f t="shared" si="380"/>
        <v>0</v>
      </c>
      <c r="G565" s="229">
        <f t="shared" si="380"/>
        <v>0</v>
      </c>
      <c r="H565" s="229">
        <f t="shared" si="380"/>
        <v>0</v>
      </c>
      <c r="I565" s="613"/>
      <c r="J565" s="531" t="e">
        <f t="shared" si="343"/>
        <v>#DIV/0!</v>
      </c>
    </row>
    <row r="566" spans="1:108" ht="26.25" customHeight="1">
      <c r="A566" s="811" t="s">
        <v>390</v>
      </c>
      <c r="B566" s="812"/>
      <c r="C566" s="813"/>
      <c r="D566" s="524" t="s">
        <v>389</v>
      </c>
      <c r="E566" s="137"/>
      <c r="F566" s="137"/>
      <c r="G566" s="229"/>
      <c r="H566" s="229">
        <f>H595+H609</f>
        <v>-167595</v>
      </c>
      <c r="I566" s="613"/>
      <c r="J566" s="531" t="e">
        <f t="shared" si="343"/>
        <v>#DIV/0!</v>
      </c>
    </row>
    <row r="567" spans="1:108" ht="24.75" customHeight="1">
      <c r="A567" s="811" t="s">
        <v>14</v>
      </c>
      <c r="B567" s="812"/>
      <c r="C567" s="813"/>
      <c r="D567" s="264" t="s">
        <v>13</v>
      </c>
      <c r="E567" s="137">
        <f t="shared" ref="E567" si="382">E596</f>
        <v>0</v>
      </c>
      <c r="F567" s="137">
        <f t="shared" ref="F567:H567" si="383">F596</f>
        <v>0</v>
      </c>
      <c r="G567" s="229">
        <f t="shared" si="383"/>
        <v>0</v>
      </c>
      <c r="H567" s="229">
        <f t="shared" si="383"/>
        <v>-7572.12</v>
      </c>
      <c r="I567" s="613"/>
      <c r="J567" s="531">
        <f t="shared" si="343"/>
        <v>4.5181061487514544E-2</v>
      </c>
      <c r="M567" s="491"/>
    </row>
    <row r="568" spans="1:108" ht="16.899999999999999" customHeight="1">
      <c r="A568" s="957" t="s">
        <v>532</v>
      </c>
      <c r="B568" s="958"/>
      <c r="C568" s="959"/>
      <c r="D568" s="242" t="s">
        <v>26</v>
      </c>
      <c r="E568" s="241">
        <f t="shared" ref="E568" si="384">E569+E573+E582+E588+E578+E596</f>
        <v>201161000</v>
      </c>
      <c r="F568" s="241">
        <f t="shared" ref="F568:G568" si="385">F569+F573+F582+F588+F578+F596</f>
        <v>115330000</v>
      </c>
      <c r="G568" s="299">
        <f t="shared" si="385"/>
        <v>34075305</v>
      </c>
      <c r="H568" s="299">
        <f>H569+H573+H582+H588+H578+H595+H596</f>
        <v>23958926.079999994</v>
      </c>
      <c r="I568" s="613">
        <f>H568/F568</f>
        <v>0.20774235740917363</v>
      </c>
      <c r="J568" s="531">
        <f t="shared" si="343"/>
        <v>-3164.0975156231011</v>
      </c>
    </row>
    <row r="569" spans="1:108" ht="15" customHeight="1">
      <c r="A569" s="263" t="s">
        <v>57</v>
      </c>
      <c r="B569" s="262"/>
      <c r="C569" s="262"/>
      <c r="D569" s="147">
        <v>20</v>
      </c>
      <c r="E569" s="137">
        <f t="shared" ref="E569" si="386">E570+E571+E577</f>
        <v>27492000</v>
      </c>
      <c r="F569" s="137">
        <f t="shared" ref="F569:H569" si="387">F570+F571+F577</f>
        <v>11923000</v>
      </c>
      <c r="G569" s="229">
        <f t="shared" si="387"/>
        <v>6291805</v>
      </c>
      <c r="H569" s="461">
        <f t="shared" si="387"/>
        <v>4496345.0199999996</v>
      </c>
      <c r="I569" s="613">
        <f>H569/F569</f>
        <v>0.37711524113058792</v>
      </c>
      <c r="J569" s="531">
        <f t="shared" si="343"/>
        <v>0.1876688882041912</v>
      </c>
    </row>
    <row r="570" spans="1:108" ht="13.9" customHeight="1">
      <c r="A570" s="551"/>
      <c r="B570" s="231"/>
      <c r="C570" s="259" t="s">
        <v>394</v>
      </c>
      <c r="D570" s="143"/>
      <c r="E570" s="418">
        <f>E48</f>
        <v>11757000</v>
      </c>
      <c r="F570" s="418">
        <f>2939000+4400000</f>
        <v>7339000</v>
      </c>
      <c r="G570" s="435">
        <v>4155800</v>
      </c>
      <c r="H570" s="435">
        <v>4155800</v>
      </c>
      <c r="I570" s="613"/>
      <c r="J570" s="531">
        <f t="shared" si="343"/>
        <v>0.92426181298694032</v>
      </c>
    </row>
    <row r="571" spans="1:108" ht="14.45" customHeight="1">
      <c r="A571" s="551"/>
      <c r="B571" s="231"/>
      <c r="C571" s="222" t="s">
        <v>393</v>
      </c>
      <c r="D571" s="143"/>
      <c r="E571" s="428">
        <v>15735000</v>
      </c>
      <c r="F571" s="428">
        <v>4584000</v>
      </c>
      <c r="G571" s="229">
        <f>6291805-G570</f>
        <v>2136005</v>
      </c>
      <c r="H571" s="461">
        <f>4496345.02-H570</f>
        <v>340545.01999999955</v>
      </c>
      <c r="I571" s="613"/>
      <c r="J571" s="531">
        <f t="shared" si="343"/>
        <v>8.1944516097983436E-2</v>
      </c>
    </row>
    <row r="572" spans="1:108" ht="13.15" hidden="1" customHeight="1">
      <c r="A572" s="551"/>
      <c r="B572" s="231"/>
      <c r="C572" s="222"/>
      <c r="D572" s="143"/>
      <c r="E572" s="137"/>
      <c r="F572" s="137"/>
      <c r="G572" s="229"/>
      <c r="H572" s="229"/>
      <c r="I572" s="613" t="e">
        <f>H572/F572</f>
        <v>#DIV/0!</v>
      </c>
      <c r="J572" s="531">
        <f t="shared" si="343"/>
        <v>0</v>
      </c>
    </row>
    <row r="573" spans="1:108" ht="15" hidden="1" customHeight="1">
      <c r="A573" s="979" t="s">
        <v>531</v>
      </c>
      <c r="B573" s="980"/>
      <c r="C573" s="980"/>
      <c r="D573" s="143">
        <v>56</v>
      </c>
      <c r="E573" s="137"/>
      <c r="F573" s="137"/>
      <c r="G573" s="229"/>
      <c r="H573" s="229"/>
      <c r="I573" s="613" t="e">
        <f>H573/F573</f>
        <v>#DIV/0!</v>
      </c>
      <c r="J573" s="531" t="e">
        <f t="shared" si="343"/>
        <v>#DIV/0!</v>
      </c>
    </row>
    <row r="574" spans="1:108" ht="13.15" hidden="1" customHeight="1">
      <c r="A574" s="551"/>
      <c r="B574" s="578"/>
      <c r="C574" s="252" t="s">
        <v>17</v>
      </c>
      <c r="D574" s="578"/>
      <c r="E574" s="406"/>
      <c r="F574" s="406"/>
      <c r="G574" s="407"/>
      <c r="H574" s="407"/>
      <c r="I574" s="613" t="e">
        <f>H574/F574</f>
        <v>#DIV/0!</v>
      </c>
      <c r="J574" s="531" t="e">
        <f t="shared" si="343"/>
        <v>#DIV/0!</v>
      </c>
    </row>
    <row r="575" spans="1:108" s="2" customFormat="1" ht="13.9" hidden="1" customHeight="1">
      <c r="A575" s="551"/>
      <c r="B575" s="578"/>
      <c r="C575" s="252" t="s">
        <v>16</v>
      </c>
      <c r="D575" s="578"/>
      <c r="E575" s="406"/>
      <c r="F575" s="406"/>
      <c r="G575" s="407"/>
      <c r="H575" s="407"/>
      <c r="I575" s="613" t="e">
        <f>H575/F575</f>
        <v>#DIV/0!</v>
      </c>
      <c r="J575" s="531" t="e">
        <f t="shared" si="343"/>
        <v>#DIV/0!</v>
      </c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</row>
    <row r="576" spans="1:108" s="2" customFormat="1" ht="15" hidden="1" customHeight="1">
      <c r="A576" s="551"/>
      <c r="B576" s="578"/>
      <c r="C576" s="251" t="s">
        <v>42</v>
      </c>
      <c r="D576" s="578"/>
      <c r="E576" s="406"/>
      <c r="F576" s="406"/>
      <c r="G576" s="407"/>
      <c r="H576" s="407"/>
      <c r="I576" s="613" t="e">
        <f>H576/F576</f>
        <v>#DIV/0!</v>
      </c>
      <c r="J576" s="531" t="e">
        <f t="shared" si="343"/>
        <v>#DIV/0!</v>
      </c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</row>
    <row r="577" spans="1:108" s="2" customFormat="1" ht="15" customHeight="1">
      <c r="A577" s="551"/>
      <c r="B577" s="578"/>
      <c r="C577" s="251" t="s">
        <v>689</v>
      </c>
      <c r="D577" s="578"/>
      <c r="E577" s="137"/>
      <c r="F577" s="137"/>
      <c r="G577" s="229"/>
      <c r="H577" s="229"/>
      <c r="I577" s="613"/>
      <c r="J577" s="531" t="e">
        <f t="shared" ref="J577:J641" si="388">(H577/H576)</f>
        <v>#DIV/0!</v>
      </c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</row>
    <row r="578" spans="1:108" s="2" customFormat="1" ht="27.75" customHeight="1">
      <c r="A578" s="981" t="s">
        <v>530</v>
      </c>
      <c r="B578" s="982"/>
      <c r="C578" s="982"/>
      <c r="D578" s="261" t="s">
        <v>529</v>
      </c>
      <c r="E578" s="137">
        <f>E579+E580+E581</f>
        <v>126217000</v>
      </c>
      <c r="F578" s="137">
        <f>F579+F580+F581</f>
        <v>55955000</v>
      </c>
      <c r="G578" s="229">
        <f t="shared" ref="G578:H578" si="389">G579+G580+G581</f>
        <v>18907000</v>
      </c>
      <c r="H578" s="229">
        <f t="shared" si="389"/>
        <v>11605813.310000001</v>
      </c>
      <c r="I578" s="615">
        <f>H578/F578</f>
        <v>0.20741333768206596</v>
      </c>
      <c r="J578" s="531" t="e">
        <f t="shared" si="388"/>
        <v>#DIV/0!</v>
      </c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</row>
    <row r="579" spans="1:108" s="2" customFormat="1" ht="15" customHeight="1">
      <c r="A579" s="551"/>
      <c r="B579" s="578"/>
      <c r="C579" s="252" t="s">
        <v>17</v>
      </c>
      <c r="D579" s="578"/>
      <c r="E579" s="137"/>
      <c r="F579" s="137"/>
      <c r="G579" s="229"/>
      <c r="H579" s="229"/>
      <c r="I579" s="613"/>
      <c r="J579" s="531">
        <f t="shared" si="388"/>
        <v>0</v>
      </c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</row>
    <row r="580" spans="1:108" s="2" customFormat="1" ht="15" customHeight="1">
      <c r="A580" s="551"/>
      <c r="B580" s="578"/>
      <c r="C580" s="251" t="s">
        <v>16</v>
      </c>
      <c r="D580" s="578"/>
      <c r="E580" s="66">
        <v>3373000</v>
      </c>
      <c r="F580" s="66">
        <f>200000+1180000</f>
        <v>1380000</v>
      </c>
      <c r="G580" s="444">
        <v>490840</v>
      </c>
      <c r="H580" s="444">
        <v>274813.09000000003</v>
      </c>
      <c r="I580" s="613">
        <f>H580/F580</f>
        <v>0.19913992028985508</v>
      </c>
      <c r="J580" s="531" t="e">
        <f t="shared" si="388"/>
        <v>#DIV/0!</v>
      </c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</row>
    <row r="581" spans="1:108" s="2" customFormat="1" ht="15" customHeight="1">
      <c r="A581" s="551"/>
      <c r="B581" s="578"/>
      <c r="C581" s="251" t="s">
        <v>42</v>
      </c>
      <c r="D581" s="578"/>
      <c r="E581" s="137">
        <f>114961000+7883000</f>
        <v>122844000</v>
      </c>
      <c r="F581" s="137">
        <f>6011000+40681000+7883000</f>
        <v>54575000</v>
      </c>
      <c r="G581" s="229">
        <v>18416160</v>
      </c>
      <c r="H581" s="229">
        <v>11331000.220000001</v>
      </c>
      <c r="I581" s="613">
        <f>H581/F581</f>
        <v>0.20762254182317913</v>
      </c>
      <c r="J581" s="531">
        <f t="shared" si="388"/>
        <v>41.231661199253644</v>
      </c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</row>
    <row r="582" spans="1:108" s="2" customFormat="1" ht="13.15" customHeight="1">
      <c r="A582" s="960" t="s">
        <v>23</v>
      </c>
      <c r="B582" s="961"/>
      <c r="C582" s="962"/>
      <c r="D582" s="147">
        <v>70</v>
      </c>
      <c r="E582" s="137">
        <f t="shared" ref="E582" si="390">E584+E583+E585+E587</f>
        <v>47452000</v>
      </c>
      <c r="F582" s="137">
        <f t="shared" ref="F582:H582" si="391">F584+F583+F585+F587</f>
        <v>47452000</v>
      </c>
      <c r="G582" s="229">
        <f t="shared" si="391"/>
        <v>8876500</v>
      </c>
      <c r="H582" s="229">
        <f t="shared" si="391"/>
        <v>7869305.4699999997</v>
      </c>
      <c r="I582" s="613">
        <f>H582/F582</f>
        <v>0.16583717166821207</v>
      </c>
      <c r="J582" s="531">
        <f t="shared" si="388"/>
        <v>0.69449345311194421</v>
      </c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</row>
    <row r="583" spans="1:108" s="2" customFormat="1" ht="13.9" customHeight="1">
      <c r="A583" s="551"/>
      <c r="B583" s="578"/>
      <c r="C583" s="252" t="s">
        <v>17</v>
      </c>
      <c r="D583" s="147"/>
      <c r="E583" s="135"/>
      <c r="F583" s="135"/>
      <c r="G583" s="233"/>
      <c r="H583" s="233"/>
      <c r="I583" s="613"/>
      <c r="J583" s="531">
        <f t="shared" si="388"/>
        <v>0</v>
      </c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</row>
    <row r="584" spans="1:108" s="2" customFormat="1" ht="13.9" customHeight="1">
      <c r="A584" s="551"/>
      <c r="B584" s="578"/>
      <c r="C584" s="251" t="s">
        <v>16</v>
      </c>
      <c r="D584" s="578"/>
      <c r="E584" s="28">
        <v>20070000</v>
      </c>
      <c r="F584" s="28">
        <f>1000000+19070000</f>
        <v>20070000</v>
      </c>
      <c r="G584" s="10">
        <v>8876500</v>
      </c>
      <c r="H584" s="10">
        <v>7869305.4699999997</v>
      </c>
      <c r="I584" s="613">
        <f>H584/F584</f>
        <v>0.3920929481813652</v>
      </c>
      <c r="J584" s="531" t="e">
        <f t="shared" si="388"/>
        <v>#DIV/0!</v>
      </c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</row>
    <row r="585" spans="1:108" s="2" customFormat="1" ht="13.15" customHeight="1">
      <c r="A585" s="253"/>
      <c r="B585" s="222"/>
      <c r="C585" s="260" t="s">
        <v>528</v>
      </c>
      <c r="D585" s="255"/>
      <c r="E585" s="386">
        <v>27382000</v>
      </c>
      <c r="F585" s="386">
        <f>17000000+10382000</f>
        <v>27382000</v>
      </c>
      <c r="G585" s="495"/>
      <c r="H585" s="495"/>
      <c r="I585" s="613">
        <f>H585/F585</f>
        <v>0</v>
      </c>
      <c r="J585" s="531">
        <f t="shared" si="388"/>
        <v>0</v>
      </c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</row>
    <row r="586" spans="1:108" s="2" customFormat="1" ht="14.25" customHeight="1">
      <c r="A586" s="253"/>
      <c r="B586" s="222"/>
      <c r="C586" s="259" t="s">
        <v>394</v>
      </c>
      <c r="D586" s="255"/>
      <c r="E586" s="201"/>
      <c r="F586" s="201"/>
      <c r="G586" s="437"/>
      <c r="H586" s="437"/>
      <c r="I586" s="613"/>
      <c r="J586" s="531" t="e">
        <f t="shared" si="388"/>
        <v>#DIV/0!</v>
      </c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</row>
    <row r="587" spans="1:108" s="2" customFormat="1" ht="14.25" customHeight="1">
      <c r="A587" s="258"/>
      <c r="B587" s="257"/>
      <c r="C587" s="256" t="s">
        <v>20</v>
      </c>
      <c r="D587" s="255"/>
      <c r="E587" s="201"/>
      <c r="F587" s="201"/>
      <c r="G587" s="437"/>
      <c r="H587" s="437"/>
      <c r="I587" s="613"/>
      <c r="J587" s="531" t="e">
        <f t="shared" si="388"/>
        <v>#DIV/0!</v>
      </c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</row>
    <row r="588" spans="1:108" s="2" customFormat="1" ht="15" hidden="1" customHeight="1">
      <c r="A588" s="960" t="s">
        <v>19</v>
      </c>
      <c r="B588" s="961"/>
      <c r="C588" s="962"/>
      <c r="D588" s="254">
        <v>81</v>
      </c>
      <c r="E588" s="137">
        <f t="shared" ref="E588" si="392">E589+E590</f>
        <v>0</v>
      </c>
      <c r="F588" s="137">
        <f t="shared" ref="F588:H588" si="393">F589+F590</f>
        <v>0</v>
      </c>
      <c r="G588" s="229">
        <f t="shared" si="393"/>
        <v>0</v>
      </c>
      <c r="H588" s="229">
        <f t="shared" si="393"/>
        <v>0</v>
      </c>
      <c r="I588" s="613"/>
      <c r="J588" s="531" t="e">
        <f t="shared" si="388"/>
        <v>#DIV/0!</v>
      </c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</row>
    <row r="589" spans="1:108" s="2" customFormat="1" ht="12.6" hidden="1" customHeight="1">
      <c r="A589" s="253"/>
      <c r="B589" s="971" t="s">
        <v>527</v>
      </c>
      <c r="C589" s="972"/>
      <c r="D589" s="180">
        <v>81.02</v>
      </c>
      <c r="E589" s="137"/>
      <c r="F589" s="137"/>
      <c r="G589" s="229"/>
      <c r="H589" s="229"/>
      <c r="I589" s="613"/>
      <c r="J589" s="531" t="e">
        <f t="shared" si="388"/>
        <v>#DIV/0!</v>
      </c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</row>
    <row r="590" spans="1:108" s="2" customFormat="1" ht="31.5" hidden="1" customHeight="1">
      <c r="A590" s="253"/>
      <c r="B590" s="973" t="s">
        <v>526</v>
      </c>
      <c r="C590" s="974"/>
      <c r="D590" s="180">
        <v>81.040000000000006</v>
      </c>
      <c r="E590" s="137"/>
      <c r="F590" s="137"/>
      <c r="G590" s="229"/>
      <c r="H590" s="229"/>
      <c r="I590" s="613"/>
      <c r="J590" s="531" t="e">
        <f t="shared" si="388"/>
        <v>#DIV/0!</v>
      </c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</row>
    <row r="591" spans="1:108" s="2" customFormat="1" ht="15" hidden="1" customHeight="1">
      <c r="A591" s="551"/>
      <c r="B591" s="578"/>
      <c r="C591" s="252" t="s">
        <v>17</v>
      </c>
      <c r="D591" s="180"/>
      <c r="E591" s="137"/>
      <c r="F591" s="137"/>
      <c r="G591" s="229"/>
      <c r="H591" s="229"/>
      <c r="I591" s="613"/>
      <c r="J591" s="531" t="e">
        <f t="shared" si="388"/>
        <v>#DIV/0!</v>
      </c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</row>
    <row r="592" spans="1:108" ht="13.9" hidden="1" customHeight="1">
      <c r="A592" s="551"/>
      <c r="B592" s="578"/>
      <c r="C592" s="252" t="s">
        <v>16</v>
      </c>
      <c r="D592" s="180"/>
      <c r="E592" s="28"/>
      <c r="F592" s="28"/>
      <c r="G592" s="10"/>
      <c r="H592" s="10"/>
      <c r="I592" s="613"/>
      <c r="J592" s="531" t="e">
        <f t="shared" si="388"/>
        <v>#DIV/0!</v>
      </c>
    </row>
    <row r="593" spans="1:31" ht="12.6" hidden="1" customHeight="1">
      <c r="A593" s="551"/>
      <c r="B593" s="578"/>
      <c r="C593" s="251" t="s">
        <v>42</v>
      </c>
      <c r="D593" s="250"/>
      <c r="E593" s="137"/>
      <c r="F593" s="137"/>
      <c r="G593" s="229"/>
      <c r="H593" s="229"/>
      <c r="I593" s="613"/>
      <c r="J593" s="531" t="e">
        <f t="shared" si="388"/>
        <v>#DIV/0!</v>
      </c>
    </row>
    <row r="594" spans="1:31" ht="15" hidden="1" customHeight="1">
      <c r="A594" s="249"/>
      <c r="B594" s="248"/>
      <c r="C594" s="248"/>
      <c r="D594" s="247"/>
      <c r="E594" s="137"/>
      <c r="F594" s="137"/>
      <c r="G594" s="229"/>
      <c r="H594" s="229"/>
      <c r="I594" s="613"/>
      <c r="J594" s="531" t="e">
        <f t="shared" si="388"/>
        <v>#DIV/0!</v>
      </c>
    </row>
    <row r="595" spans="1:31" ht="26.25" customHeight="1">
      <c r="A595" s="811" t="s">
        <v>390</v>
      </c>
      <c r="B595" s="812"/>
      <c r="C595" s="813"/>
      <c r="D595" s="142" t="s">
        <v>389</v>
      </c>
      <c r="E595" s="137"/>
      <c r="F595" s="137"/>
      <c r="G595" s="229"/>
      <c r="H595" s="229">
        <v>-4965.6000000000004</v>
      </c>
      <c r="I595" s="613"/>
      <c r="J595" s="531" t="e">
        <f t="shared" si="388"/>
        <v>#DIV/0!</v>
      </c>
      <c r="L595" s="246"/>
    </row>
    <row r="596" spans="1:31" ht="37.5" customHeight="1">
      <c r="A596" s="811" t="s">
        <v>14</v>
      </c>
      <c r="B596" s="812"/>
      <c r="C596" s="813"/>
      <c r="D596" s="142" t="s">
        <v>13</v>
      </c>
      <c r="E596" s="406"/>
      <c r="F596" s="406"/>
      <c r="G596" s="407"/>
      <c r="H596" s="229">
        <v>-7572.12</v>
      </c>
      <c r="I596" s="613"/>
      <c r="J596" s="531">
        <f t="shared" si="388"/>
        <v>1.5249154180763653</v>
      </c>
      <c r="L596" s="509"/>
      <c r="M596" s="491"/>
    </row>
    <row r="597" spans="1:31" s="245" customFormat="1" ht="17.45" customHeight="1">
      <c r="A597" s="957" t="s">
        <v>525</v>
      </c>
      <c r="B597" s="958"/>
      <c r="C597" s="959"/>
      <c r="D597" s="242" t="s">
        <v>11</v>
      </c>
      <c r="E597" s="241">
        <f>E598+E600+E602</f>
        <v>5850000</v>
      </c>
      <c r="F597" s="241">
        <f t="shared" ref="F597:H597" si="394">F598+F600+F602</f>
        <v>4500000</v>
      </c>
      <c r="G597" s="299">
        <f t="shared" si="394"/>
        <v>0</v>
      </c>
      <c r="H597" s="299">
        <f t="shared" si="394"/>
        <v>0</v>
      </c>
      <c r="I597" s="613">
        <f>H597/F597</f>
        <v>0</v>
      </c>
      <c r="J597" s="531">
        <f t="shared" si="388"/>
        <v>0</v>
      </c>
      <c r="K597" s="246"/>
      <c r="L597" s="509"/>
      <c r="M597" s="510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  <c r="AA597" s="246"/>
      <c r="AB597" s="246"/>
      <c r="AC597" s="246"/>
      <c r="AD597" s="246"/>
      <c r="AE597" s="246"/>
    </row>
    <row r="598" spans="1:31" s="509" customFormat="1" ht="17.45" customHeight="1">
      <c r="A598" s="975" t="s">
        <v>694</v>
      </c>
      <c r="B598" s="976"/>
      <c r="C598" s="976"/>
      <c r="D598" s="511">
        <v>20</v>
      </c>
      <c r="E598" s="512">
        <f t="shared" ref="E598:I598" si="395">E599</f>
        <v>1350000</v>
      </c>
      <c r="F598" s="512">
        <f t="shared" si="395"/>
        <v>0</v>
      </c>
      <c r="G598" s="522">
        <f t="shared" si="395"/>
        <v>0</v>
      </c>
      <c r="H598" s="522">
        <f t="shared" si="395"/>
        <v>0</v>
      </c>
      <c r="I598" s="617">
        <f t="shared" si="395"/>
        <v>0</v>
      </c>
      <c r="J598" s="531" t="e">
        <f t="shared" si="388"/>
        <v>#DIV/0!</v>
      </c>
      <c r="L598" s="2"/>
      <c r="M598" s="510"/>
    </row>
    <row r="599" spans="1:31" s="509" customFormat="1" ht="17.45" customHeight="1">
      <c r="A599" s="618"/>
      <c r="B599" s="977" t="s">
        <v>696</v>
      </c>
      <c r="C599" s="978"/>
      <c r="D599" s="511" t="s">
        <v>695</v>
      </c>
      <c r="E599" s="512">
        <v>1350000</v>
      </c>
      <c r="F599" s="512"/>
      <c r="G599" s="522"/>
      <c r="H599" s="522"/>
      <c r="I599" s="619"/>
      <c r="J599" s="531" t="e">
        <f t="shared" si="388"/>
        <v>#DIV/0!</v>
      </c>
      <c r="L599" s="2"/>
      <c r="M599" s="2"/>
    </row>
    <row r="600" spans="1:31" ht="15" customHeight="1">
      <c r="A600" s="975" t="s">
        <v>524</v>
      </c>
      <c r="B600" s="976"/>
      <c r="C600" s="976"/>
      <c r="D600" s="243" t="s">
        <v>9</v>
      </c>
      <c r="E600" s="135">
        <f t="shared" ref="E600:H600" si="396">E601</f>
        <v>0</v>
      </c>
      <c r="F600" s="135">
        <f t="shared" si="396"/>
        <v>0</v>
      </c>
      <c r="G600" s="516">
        <f t="shared" si="396"/>
        <v>0</v>
      </c>
      <c r="H600" s="516">
        <f t="shared" si="396"/>
        <v>0</v>
      </c>
      <c r="I600" s="613"/>
      <c r="J600" s="531" t="e">
        <f t="shared" si="388"/>
        <v>#DIV/0!</v>
      </c>
    </row>
    <row r="601" spans="1:31" ht="15" customHeight="1">
      <c r="A601" s="223"/>
      <c r="B601" s="552" t="s">
        <v>8</v>
      </c>
      <c r="C601" s="244"/>
      <c r="D601" s="243" t="s">
        <v>7</v>
      </c>
      <c r="E601" s="137">
        <v>0</v>
      </c>
      <c r="F601" s="137"/>
      <c r="G601" s="441"/>
      <c r="H601" s="441"/>
      <c r="I601" s="613"/>
      <c r="J601" s="531" t="e">
        <f t="shared" si="388"/>
        <v>#DIV/0!</v>
      </c>
      <c r="L601" s="240"/>
    </row>
    <row r="602" spans="1:31" ht="15" customHeight="1">
      <c r="A602" s="960" t="s">
        <v>23</v>
      </c>
      <c r="B602" s="961"/>
      <c r="C602" s="962"/>
      <c r="D602" s="243">
        <v>70</v>
      </c>
      <c r="E602" s="137">
        <v>4500000</v>
      </c>
      <c r="F602" s="137">
        <v>4500000</v>
      </c>
      <c r="G602" s="441"/>
      <c r="H602" s="441"/>
      <c r="I602" s="613"/>
      <c r="J602" s="531" t="e">
        <f t="shared" si="388"/>
        <v>#DIV/0!</v>
      </c>
      <c r="M602" s="491"/>
    </row>
    <row r="603" spans="1:31" s="239" customFormat="1" ht="15" customHeight="1">
      <c r="A603" s="957" t="s">
        <v>523</v>
      </c>
      <c r="B603" s="958"/>
      <c r="C603" s="959"/>
      <c r="D603" s="242" t="s">
        <v>5</v>
      </c>
      <c r="E603" s="241">
        <f t="shared" ref="E603" si="397">E604+E607</f>
        <v>8767000</v>
      </c>
      <c r="F603" s="241">
        <f t="shared" ref="F603:G603" si="398">F604+F607</f>
        <v>4145000</v>
      </c>
      <c r="G603" s="299">
        <f t="shared" si="398"/>
        <v>3250000</v>
      </c>
      <c r="H603" s="299">
        <f>H604+H607+H609</f>
        <v>3053082.61</v>
      </c>
      <c r="I603" s="613">
        <f>H603/F603</f>
        <v>0.73656999034981907</v>
      </c>
      <c r="J603" s="531" t="e">
        <f t="shared" si="388"/>
        <v>#DIV/0!</v>
      </c>
      <c r="K603" s="240"/>
      <c r="L603" s="238"/>
      <c r="M603" s="2"/>
      <c r="N603" s="240"/>
      <c r="O603" s="240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  <c r="AA603" s="240"/>
      <c r="AB603" s="240"/>
      <c r="AC603" s="240"/>
      <c r="AD603" s="240"/>
      <c r="AE603" s="240"/>
    </row>
    <row r="604" spans="1:31" ht="15" customHeight="1">
      <c r="A604" s="960" t="s">
        <v>438</v>
      </c>
      <c r="B604" s="961"/>
      <c r="C604" s="962"/>
      <c r="D604" s="236">
        <v>51</v>
      </c>
      <c r="E604" s="137">
        <f t="shared" ref="E604" si="399">E605+E606</f>
        <v>7965000</v>
      </c>
      <c r="F604" s="137">
        <f t="shared" ref="F604:H604" si="400">F605+F606</f>
        <v>3343000</v>
      </c>
      <c r="G604" s="441">
        <f t="shared" si="400"/>
        <v>3250000</v>
      </c>
      <c r="H604" s="441">
        <f t="shared" si="400"/>
        <v>3215712.01</v>
      </c>
      <c r="I604" s="613">
        <f>H604/F604</f>
        <v>0.96192402333233618</v>
      </c>
      <c r="J604" s="531">
        <f t="shared" si="388"/>
        <v>1.0532672779528884</v>
      </c>
      <c r="L604" s="235"/>
      <c r="M604" s="238"/>
    </row>
    <row r="605" spans="1:31" s="237" customFormat="1" ht="15" customHeight="1">
      <c r="A605" s="551"/>
      <c r="B605" s="963" t="s">
        <v>710</v>
      </c>
      <c r="C605" s="964"/>
      <c r="D605" s="432" t="s">
        <v>386</v>
      </c>
      <c r="E605" s="428">
        <v>6058000</v>
      </c>
      <c r="F605" s="428">
        <f>2600000</f>
        <v>2600000</v>
      </c>
      <c r="G605" s="504">
        <v>2600000</v>
      </c>
      <c r="H605" s="504">
        <v>2600000</v>
      </c>
      <c r="I605" s="613">
        <f>H605/F605</f>
        <v>1</v>
      </c>
      <c r="J605" s="531">
        <f t="shared" si="388"/>
        <v>0.80853011461060542</v>
      </c>
      <c r="K605" s="238"/>
      <c r="L605" s="235"/>
      <c r="M605" s="235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</row>
    <row r="606" spans="1:31" s="234" customFormat="1" ht="15" customHeight="1">
      <c r="A606" s="551"/>
      <c r="B606" s="963" t="s">
        <v>711</v>
      </c>
      <c r="C606" s="964"/>
      <c r="D606" s="432" t="s">
        <v>386</v>
      </c>
      <c r="E606" s="430">
        <v>1907000</v>
      </c>
      <c r="F606" s="430">
        <f>415000+328000</f>
        <v>743000</v>
      </c>
      <c r="G606" s="462">
        <v>650000</v>
      </c>
      <c r="H606" s="462">
        <v>615712.01</v>
      </c>
      <c r="I606" s="613"/>
      <c r="J606" s="531">
        <f t="shared" si="388"/>
        <v>0.23681231153846155</v>
      </c>
      <c r="K606" s="235"/>
      <c r="L606" s="235"/>
      <c r="M606" s="235"/>
      <c r="N606" s="235"/>
      <c r="O606" s="235"/>
      <c r="P606" s="235"/>
      <c r="Q606" s="235"/>
      <c r="R606" s="235"/>
      <c r="S606" s="235"/>
      <c r="T606" s="235"/>
      <c r="U606" s="235"/>
      <c r="V606" s="235"/>
      <c r="W606" s="235"/>
      <c r="X606" s="235"/>
      <c r="Y606" s="235"/>
      <c r="Z606" s="235"/>
      <c r="AA606" s="235"/>
      <c r="AB606" s="235"/>
      <c r="AC606" s="235"/>
      <c r="AD606" s="235"/>
      <c r="AE606" s="235"/>
    </row>
    <row r="607" spans="1:31" s="234" customFormat="1" ht="15" customHeight="1">
      <c r="A607" s="1038" t="s">
        <v>405</v>
      </c>
      <c r="B607" s="827"/>
      <c r="C607" s="828"/>
      <c r="D607" s="236">
        <v>55</v>
      </c>
      <c r="E607" s="430">
        <f t="shared" ref="E607:H607" si="401">E608</f>
        <v>802000</v>
      </c>
      <c r="F607" s="430">
        <f t="shared" si="401"/>
        <v>802000</v>
      </c>
      <c r="G607" s="462">
        <f t="shared" si="401"/>
        <v>0</v>
      </c>
      <c r="H607" s="462">
        <f t="shared" si="401"/>
        <v>0</v>
      </c>
      <c r="I607" s="613"/>
      <c r="J607" s="531">
        <f t="shared" si="388"/>
        <v>0</v>
      </c>
      <c r="K607" s="235"/>
      <c r="L607" s="235"/>
      <c r="M607" s="235"/>
      <c r="N607" s="235"/>
      <c r="O607" s="235"/>
      <c r="P607" s="235"/>
      <c r="Q607" s="235"/>
      <c r="R607" s="235"/>
      <c r="S607" s="235"/>
      <c r="T607" s="235"/>
      <c r="U607" s="235"/>
      <c r="V607" s="235"/>
      <c r="W607" s="235"/>
      <c r="X607" s="235"/>
      <c r="Y607" s="235"/>
      <c r="Z607" s="235"/>
      <c r="AA607" s="235"/>
      <c r="AB607" s="235"/>
      <c r="AC607" s="235"/>
      <c r="AD607" s="235"/>
      <c r="AE607" s="235"/>
    </row>
    <row r="608" spans="1:31" s="234" customFormat="1" ht="15" customHeight="1">
      <c r="A608" s="551"/>
      <c r="B608" s="963" t="s">
        <v>683</v>
      </c>
      <c r="C608" s="964"/>
      <c r="D608" s="236" t="s">
        <v>677</v>
      </c>
      <c r="E608" s="430">
        <v>802000</v>
      </c>
      <c r="F608" s="430">
        <v>802000</v>
      </c>
      <c r="G608" s="462"/>
      <c r="H608" s="462"/>
      <c r="I608" s="613">
        <f>H608/F608</f>
        <v>0</v>
      </c>
      <c r="J608" s="531" t="e">
        <f t="shared" si="388"/>
        <v>#DIV/0!</v>
      </c>
      <c r="K608" s="235"/>
      <c r="L608" s="100"/>
      <c r="M608" s="235"/>
      <c r="N608" s="235"/>
      <c r="O608" s="235"/>
      <c r="P608" s="235"/>
      <c r="Q608" s="235"/>
      <c r="R608" s="235"/>
      <c r="S608" s="235"/>
      <c r="T608" s="235"/>
      <c r="U608" s="235"/>
      <c r="V608" s="235"/>
      <c r="W608" s="235"/>
      <c r="X608" s="235"/>
      <c r="Y608" s="235"/>
      <c r="Z608" s="235"/>
      <c r="AA608" s="235"/>
      <c r="AB608" s="235"/>
      <c r="AC608" s="235"/>
      <c r="AD608" s="235"/>
      <c r="AE608" s="235"/>
    </row>
    <row r="609" spans="1:108" s="234" customFormat="1" ht="38.25" customHeight="1">
      <c r="A609" s="811" t="s">
        <v>390</v>
      </c>
      <c r="B609" s="812"/>
      <c r="C609" s="813"/>
      <c r="D609" s="142" t="s">
        <v>389</v>
      </c>
      <c r="E609" s="139"/>
      <c r="F609" s="139"/>
      <c r="G609" s="304"/>
      <c r="H609" s="530">
        <v>-162629.4</v>
      </c>
      <c r="I609" s="613"/>
      <c r="J609" s="531" t="e">
        <f t="shared" si="388"/>
        <v>#DIV/0!</v>
      </c>
      <c r="K609" s="235"/>
      <c r="L609" s="2"/>
      <c r="M609" s="2"/>
      <c r="N609" s="235"/>
      <c r="O609" s="235"/>
      <c r="P609" s="235"/>
      <c r="Q609" s="235"/>
      <c r="R609" s="235"/>
      <c r="S609" s="235"/>
      <c r="T609" s="235"/>
      <c r="U609" s="235"/>
      <c r="V609" s="235"/>
      <c r="W609" s="235"/>
      <c r="X609" s="235"/>
      <c r="Y609" s="235"/>
      <c r="Z609" s="235"/>
      <c r="AA609" s="235"/>
      <c r="AB609" s="235"/>
      <c r="AC609" s="235"/>
      <c r="AD609" s="235"/>
      <c r="AE609" s="235"/>
    </row>
    <row r="610" spans="1:108" ht="15" customHeight="1">
      <c r="A610" s="965" t="s">
        <v>521</v>
      </c>
      <c r="B610" s="966"/>
      <c r="C610" s="967"/>
      <c r="D610" s="230">
        <v>96.02</v>
      </c>
      <c r="E610" s="233">
        <f t="shared" ref="E610" si="402">E611-E612</f>
        <v>61017000</v>
      </c>
      <c r="F610" s="233">
        <f t="shared" ref="F610:H610" si="403">F611-F612</f>
        <v>56323000</v>
      </c>
      <c r="G610" s="233">
        <f t="shared" si="403"/>
        <v>-18638745.51000002</v>
      </c>
      <c r="H610" s="233">
        <f t="shared" si="403"/>
        <v>-37376716.700000003</v>
      </c>
      <c r="I610" s="613"/>
      <c r="J610" s="531">
        <f t="shared" si="388"/>
        <v>229.82755086103745</v>
      </c>
      <c r="K610" s="100"/>
    </row>
    <row r="611" spans="1:108" ht="15" customHeight="1">
      <c r="A611" s="232"/>
      <c r="B611" s="231" t="s">
        <v>1</v>
      </c>
      <c r="C611" s="222"/>
      <c r="D611" s="230">
        <v>98.02</v>
      </c>
      <c r="E611" s="135"/>
      <c r="F611" s="135"/>
      <c r="G611" s="233"/>
      <c r="H611" s="233"/>
      <c r="I611" s="613"/>
      <c r="J611" s="531">
        <f t="shared" si="388"/>
        <v>0</v>
      </c>
    </row>
    <row r="612" spans="1:108" ht="15" customHeight="1">
      <c r="A612" s="232"/>
      <c r="B612" s="231" t="s">
        <v>0</v>
      </c>
      <c r="C612" s="188"/>
      <c r="D612" s="230">
        <v>99.02</v>
      </c>
      <c r="E612" s="229">
        <f>E13-E192</f>
        <v>-61017000</v>
      </c>
      <c r="F612" s="229">
        <f>F13-F192</f>
        <v>-56323000</v>
      </c>
      <c r="G612" s="229">
        <f>G13-G192</f>
        <v>18638745.51000002</v>
      </c>
      <c r="H612" s="229">
        <f>H13-H192</f>
        <v>37376716.700000003</v>
      </c>
      <c r="I612" s="613"/>
      <c r="J612" s="531" t="e">
        <f t="shared" si="388"/>
        <v>#DIV/0!</v>
      </c>
    </row>
    <row r="613" spans="1:108" s="2" customFormat="1" ht="17.25" hidden="1" customHeight="1">
      <c r="A613" s="223"/>
      <c r="B613" s="228"/>
      <c r="C613" s="228"/>
      <c r="D613" s="225"/>
      <c r="E613" s="137"/>
      <c r="F613" s="137"/>
      <c r="G613" s="229"/>
      <c r="H613" s="229"/>
      <c r="I613" s="613" t="e">
        <f t="shared" ref="I613:I637" si="404">H613/F613</f>
        <v>#DIV/0!</v>
      </c>
      <c r="J613" s="531">
        <f t="shared" si="388"/>
        <v>0</v>
      </c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</row>
    <row r="614" spans="1:108" s="2" customFormat="1" ht="33" hidden="1" customHeight="1">
      <c r="A614" s="227" t="s">
        <v>520</v>
      </c>
      <c r="B614" s="226"/>
      <c r="C614" s="226"/>
      <c r="D614" s="226"/>
      <c r="E614" s="137"/>
      <c r="F614" s="137"/>
      <c r="G614" s="229"/>
      <c r="H614" s="229"/>
      <c r="I614" s="613" t="e">
        <f t="shared" si="404"/>
        <v>#DIV/0!</v>
      </c>
      <c r="J614" s="531" t="e">
        <f t="shared" si="388"/>
        <v>#DIV/0!</v>
      </c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</row>
    <row r="615" spans="1:108" s="2" customFormat="1" ht="17.25" hidden="1" customHeight="1">
      <c r="A615" s="223"/>
      <c r="B615" s="222"/>
      <c r="C615" s="222"/>
      <c r="D615" s="225"/>
      <c r="E615" s="137"/>
      <c r="F615" s="137"/>
      <c r="G615" s="229"/>
      <c r="H615" s="229"/>
      <c r="I615" s="613" t="e">
        <f t="shared" si="404"/>
        <v>#DIV/0!</v>
      </c>
      <c r="J615" s="531" t="e">
        <f t="shared" si="388"/>
        <v>#DIV/0!</v>
      </c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</row>
    <row r="616" spans="1:108" s="2" customFormat="1" ht="17.25" hidden="1" customHeight="1">
      <c r="A616" s="223"/>
      <c r="B616" s="222"/>
      <c r="C616" s="222"/>
      <c r="D616" s="225"/>
      <c r="E616" s="137"/>
      <c r="F616" s="137"/>
      <c r="G616" s="229"/>
      <c r="H616" s="229"/>
      <c r="I616" s="613" t="e">
        <f t="shared" si="404"/>
        <v>#DIV/0!</v>
      </c>
      <c r="J616" s="531" t="e">
        <f t="shared" si="388"/>
        <v>#DIV/0!</v>
      </c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</row>
    <row r="617" spans="1:108" s="2" customFormat="1" ht="17.25" hidden="1" customHeight="1">
      <c r="A617" s="223"/>
      <c r="B617" s="222"/>
      <c r="C617" s="222"/>
      <c r="D617" s="225"/>
      <c r="E617" s="137"/>
      <c r="F617" s="137"/>
      <c r="G617" s="229"/>
      <c r="H617" s="229"/>
      <c r="I617" s="613" t="e">
        <f t="shared" si="404"/>
        <v>#DIV/0!</v>
      </c>
      <c r="J617" s="531" t="e">
        <f t="shared" si="388"/>
        <v>#DIV/0!</v>
      </c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</row>
    <row r="618" spans="1:108" s="2" customFormat="1" ht="17.25" hidden="1" customHeight="1">
      <c r="A618" s="223"/>
      <c r="B618" s="222"/>
      <c r="C618" s="222"/>
      <c r="D618" s="225"/>
      <c r="E618" s="137"/>
      <c r="F618" s="137"/>
      <c r="G618" s="229"/>
      <c r="H618" s="229"/>
      <c r="I618" s="613" t="e">
        <f t="shared" si="404"/>
        <v>#DIV/0!</v>
      </c>
      <c r="J618" s="531" t="e">
        <f t="shared" si="388"/>
        <v>#DIV/0!</v>
      </c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</row>
    <row r="619" spans="1:108" s="2" customFormat="1" ht="17.25" hidden="1" customHeight="1">
      <c r="A619" s="223"/>
      <c r="B619" s="222"/>
      <c r="C619" s="222"/>
      <c r="D619" s="225"/>
      <c r="E619" s="137"/>
      <c r="F619" s="137"/>
      <c r="G619" s="229"/>
      <c r="H619" s="229"/>
      <c r="I619" s="613" t="e">
        <f t="shared" si="404"/>
        <v>#DIV/0!</v>
      </c>
      <c r="J619" s="531" t="e">
        <f t="shared" si="388"/>
        <v>#DIV/0!</v>
      </c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</row>
    <row r="620" spans="1:108" s="2" customFormat="1" ht="17.25" hidden="1" customHeight="1">
      <c r="A620" s="223"/>
      <c r="B620" s="222"/>
      <c r="C620" s="222"/>
      <c r="D620" s="225"/>
      <c r="E620" s="137"/>
      <c r="F620" s="137"/>
      <c r="G620" s="229"/>
      <c r="H620" s="229"/>
      <c r="I620" s="613" t="e">
        <f t="shared" si="404"/>
        <v>#DIV/0!</v>
      </c>
      <c r="J620" s="531" t="e">
        <f t="shared" si="388"/>
        <v>#DIV/0!</v>
      </c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</row>
    <row r="621" spans="1:108" s="2" customFormat="1" ht="17.25" hidden="1" customHeight="1">
      <c r="A621" s="223"/>
      <c r="B621" s="222"/>
      <c r="C621" s="222"/>
      <c r="D621" s="225"/>
      <c r="E621" s="137"/>
      <c r="F621" s="137"/>
      <c r="G621" s="229"/>
      <c r="H621" s="229"/>
      <c r="I621" s="613" t="e">
        <f t="shared" si="404"/>
        <v>#DIV/0!</v>
      </c>
      <c r="J621" s="531" t="e">
        <f t="shared" si="388"/>
        <v>#DIV/0!</v>
      </c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</row>
    <row r="622" spans="1:108" s="2" customFormat="1" ht="17.25" hidden="1" customHeight="1">
      <c r="A622" s="223"/>
      <c r="B622" s="222"/>
      <c r="C622" s="222"/>
      <c r="D622" s="225"/>
      <c r="E622" s="137"/>
      <c r="F622" s="137"/>
      <c r="G622" s="229"/>
      <c r="H622" s="229"/>
      <c r="I622" s="613" t="e">
        <f t="shared" si="404"/>
        <v>#DIV/0!</v>
      </c>
      <c r="J622" s="531" t="e">
        <f t="shared" si="388"/>
        <v>#DIV/0!</v>
      </c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</row>
    <row r="623" spans="1:108" s="2" customFormat="1" ht="17.25" hidden="1" customHeight="1">
      <c r="A623" s="223"/>
      <c r="B623" s="222"/>
      <c r="C623" s="222"/>
      <c r="D623" s="225"/>
      <c r="E623" s="137"/>
      <c r="F623" s="137"/>
      <c r="G623" s="229"/>
      <c r="H623" s="229"/>
      <c r="I623" s="613" t="e">
        <f t="shared" si="404"/>
        <v>#DIV/0!</v>
      </c>
      <c r="J623" s="531" t="e">
        <f t="shared" si="388"/>
        <v>#DIV/0!</v>
      </c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</row>
    <row r="624" spans="1:108" s="2" customFormat="1" ht="17.25" hidden="1" customHeight="1">
      <c r="A624" s="223"/>
      <c r="B624" s="222"/>
      <c r="C624" s="222"/>
      <c r="D624" s="225"/>
      <c r="E624" s="137"/>
      <c r="F624" s="137"/>
      <c r="G624" s="229"/>
      <c r="H624" s="229"/>
      <c r="I624" s="613" t="e">
        <f t="shared" si="404"/>
        <v>#DIV/0!</v>
      </c>
      <c r="J624" s="531" t="e">
        <f t="shared" si="388"/>
        <v>#DIV/0!</v>
      </c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</row>
    <row r="625" spans="1:108" s="2" customFormat="1" ht="17.25" hidden="1" customHeight="1">
      <c r="A625" s="223"/>
      <c r="B625" s="222"/>
      <c r="C625" s="222"/>
      <c r="D625" s="225"/>
      <c r="E625" s="137"/>
      <c r="F625" s="137"/>
      <c r="G625" s="229"/>
      <c r="H625" s="229"/>
      <c r="I625" s="613" t="e">
        <f t="shared" si="404"/>
        <v>#DIV/0!</v>
      </c>
      <c r="J625" s="531" t="e">
        <f t="shared" si="388"/>
        <v>#DIV/0!</v>
      </c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</row>
    <row r="626" spans="1:108" s="2" customFormat="1" ht="17.25" hidden="1" customHeight="1">
      <c r="A626" s="223"/>
      <c r="B626" s="222"/>
      <c r="C626" s="222"/>
      <c r="D626" s="225"/>
      <c r="E626" s="137"/>
      <c r="F626" s="137"/>
      <c r="G626" s="229"/>
      <c r="H626" s="229"/>
      <c r="I626" s="613" t="e">
        <f t="shared" si="404"/>
        <v>#DIV/0!</v>
      </c>
      <c r="J626" s="531" t="e">
        <f t="shared" si="388"/>
        <v>#DIV/0!</v>
      </c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</row>
    <row r="627" spans="1:108" s="2" customFormat="1" ht="17.25" hidden="1" customHeight="1">
      <c r="A627" s="223"/>
      <c r="B627" s="224"/>
      <c r="C627" s="224"/>
      <c r="D627" s="221"/>
      <c r="E627" s="137"/>
      <c r="F627" s="137"/>
      <c r="G627" s="229"/>
      <c r="H627" s="229"/>
      <c r="I627" s="613" t="e">
        <f t="shared" si="404"/>
        <v>#DIV/0!</v>
      </c>
      <c r="J627" s="531" t="e">
        <f t="shared" si="388"/>
        <v>#DIV/0!</v>
      </c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</row>
    <row r="628" spans="1:108" s="2" customFormat="1" ht="2.25" hidden="1" customHeight="1">
      <c r="A628" s="223"/>
      <c r="B628" s="222"/>
      <c r="C628" s="222"/>
      <c r="D628" s="221"/>
      <c r="E628" s="137"/>
      <c r="F628" s="137"/>
      <c r="G628" s="229"/>
      <c r="H628" s="229"/>
      <c r="I628" s="613" t="e">
        <f t="shared" si="404"/>
        <v>#DIV/0!</v>
      </c>
      <c r="J628" s="531" t="e">
        <f t="shared" si="388"/>
        <v>#DIV/0!</v>
      </c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</row>
    <row r="629" spans="1:108" s="134" customFormat="1" ht="19.149999999999999" customHeight="1">
      <c r="A629" s="968" t="s">
        <v>519</v>
      </c>
      <c r="B629" s="969"/>
      <c r="C629" s="970"/>
      <c r="D629" s="220" t="s">
        <v>381</v>
      </c>
      <c r="E629" s="101">
        <f t="shared" ref="E629" si="405">E631+E739+E746</f>
        <v>205283000</v>
      </c>
      <c r="F629" s="101">
        <f t="shared" ref="F629:H629" si="406">F631+F739+F746</f>
        <v>105221000</v>
      </c>
      <c r="G629" s="101">
        <f t="shared" si="406"/>
        <v>90529017.560000002</v>
      </c>
      <c r="H629" s="101">
        <f t="shared" si="406"/>
        <v>90529017.560000002</v>
      </c>
      <c r="I629" s="613">
        <f t="shared" si="404"/>
        <v>0.86037024510316384</v>
      </c>
      <c r="J629" s="531" t="e">
        <f t="shared" si="388"/>
        <v>#DIV/0!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108" ht="15" customHeight="1">
      <c r="A630" s="955" t="s">
        <v>518</v>
      </c>
      <c r="B630" s="956"/>
      <c r="C630" s="956"/>
      <c r="D630" s="570" t="s">
        <v>117</v>
      </c>
      <c r="E630" s="139">
        <f t="shared" ref="E630" si="407">E631-E655-E729+E739</f>
        <v>98944000</v>
      </c>
      <c r="F630" s="139">
        <f t="shared" ref="F630:H630" si="408">F631-F655-F729+F739</f>
        <v>53310000</v>
      </c>
      <c r="G630" s="304">
        <f t="shared" si="408"/>
        <v>54863151.560000002</v>
      </c>
      <c r="H630" s="304">
        <f t="shared" si="408"/>
        <v>54863151.560000002</v>
      </c>
      <c r="I630" s="613">
        <f t="shared" si="404"/>
        <v>1.029134338022885</v>
      </c>
      <c r="J630" s="531">
        <f t="shared" si="388"/>
        <v>0.6060283546503562</v>
      </c>
    </row>
    <row r="631" spans="1:108" ht="15" customHeight="1">
      <c r="A631" s="936" t="s">
        <v>379</v>
      </c>
      <c r="B631" s="937"/>
      <c r="C631" s="937"/>
      <c r="D631" s="219" t="s">
        <v>378</v>
      </c>
      <c r="E631" s="135">
        <f t="shared" ref="E631" si="409">E632+E681</f>
        <v>201512000</v>
      </c>
      <c r="F631" s="135">
        <f t="shared" ref="F631:H631" si="410">F632+F681</f>
        <v>102297000</v>
      </c>
      <c r="G631" s="233">
        <f t="shared" si="410"/>
        <v>90021951.560000002</v>
      </c>
      <c r="H631" s="233">
        <f t="shared" si="410"/>
        <v>90021951.560000002</v>
      </c>
      <c r="I631" s="613">
        <f t="shared" si="404"/>
        <v>0.88000578276977826</v>
      </c>
      <c r="J631" s="531">
        <f t="shared" si="388"/>
        <v>1.6408454308635418</v>
      </c>
    </row>
    <row r="632" spans="1:108" ht="15" customHeight="1">
      <c r="A632" s="936" t="s">
        <v>377</v>
      </c>
      <c r="B632" s="937"/>
      <c r="C632" s="937"/>
      <c r="D632" s="219" t="s">
        <v>376</v>
      </c>
      <c r="E632" s="135">
        <f t="shared" ref="E632" si="411">E633+E648+E654+E678</f>
        <v>191196000</v>
      </c>
      <c r="F632" s="135">
        <f t="shared" ref="F632:H632" si="412">F633+F648+F654+F678</f>
        <v>97879000</v>
      </c>
      <c r="G632" s="233">
        <f t="shared" si="412"/>
        <v>85696985.340000004</v>
      </c>
      <c r="H632" s="233">
        <f t="shared" si="412"/>
        <v>85696985.340000004</v>
      </c>
      <c r="I632" s="613">
        <f t="shared" si="404"/>
        <v>0.87554005803083401</v>
      </c>
      <c r="J632" s="531">
        <f t="shared" si="388"/>
        <v>0.95195653787712664</v>
      </c>
    </row>
    <row r="633" spans="1:108" ht="15" customHeight="1">
      <c r="A633" s="918" t="s">
        <v>517</v>
      </c>
      <c r="B633" s="919"/>
      <c r="C633" s="920"/>
      <c r="D633" s="219" t="s">
        <v>374</v>
      </c>
      <c r="E633" s="135">
        <f t="shared" ref="E633" si="413">E634+E638+E642</f>
        <v>86883000</v>
      </c>
      <c r="F633" s="135">
        <f t="shared" ref="F633:H633" si="414">F634+F638+F642</f>
        <v>48112000</v>
      </c>
      <c r="G633" s="233">
        <f t="shared" si="414"/>
        <v>49308079.439999998</v>
      </c>
      <c r="H633" s="233">
        <f t="shared" si="414"/>
        <v>49308079.439999998</v>
      </c>
      <c r="I633" s="613">
        <f t="shared" si="404"/>
        <v>1.024860314266711</v>
      </c>
      <c r="J633" s="531">
        <f t="shared" si="388"/>
        <v>0.57537705958233876</v>
      </c>
    </row>
    <row r="634" spans="1:108" ht="15" customHeight="1">
      <c r="A634" s="953" t="s">
        <v>516</v>
      </c>
      <c r="B634" s="954"/>
      <c r="C634" s="954"/>
      <c r="D634" s="219" t="s">
        <v>372</v>
      </c>
      <c r="E634" s="135">
        <f t="shared" ref="E634:H636" si="415">E635</f>
        <v>500000</v>
      </c>
      <c r="F634" s="135">
        <f t="shared" si="415"/>
        <v>500000</v>
      </c>
      <c r="G634" s="233">
        <f t="shared" si="415"/>
        <v>500000</v>
      </c>
      <c r="H634" s="233">
        <f t="shared" si="415"/>
        <v>500000</v>
      </c>
      <c r="I634" s="613">
        <f t="shared" si="404"/>
        <v>1</v>
      </c>
      <c r="J634" s="531">
        <f t="shared" si="388"/>
        <v>1.0140326000902542E-2</v>
      </c>
    </row>
    <row r="635" spans="1:108" ht="15" customHeight="1">
      <c r="A635" s="936" t="s">
        <v>371</v>
      </c>
      <c r="B635" s="937"/>
      <c r="C635" s="937"/>
      <c r="D635" s="211" t="s">
        <v>370</v>
      </c>
      <c r="E635" s="135">
        <f t="shared" si="415"/>
        <v>500000</v>
      </c>
      <c r="F635" s="135">
        <f t="shared" si="415"/>
        <v>500000</v>
      </c>
      <c r="G635" s="233">
        <f t="shared" si="415"/>
        <v>500000</v>
      </c>
      <c r="H635" s="233">
        <f t="shared" si="415"/>
        <v>500000</v>
      </c>
      <c r="I635" s="613">
        <f t="shared" si="404"/>
        <v>1</v>
      </c>
      <c r="J635" s="531">
        <f t="shared" si="388"/>
        <v>1</v>
      </c>
    </row>
    <row r="636" spans="1:108" ht="15" customHeight="1">
      <c r="A636" s="200"/>
      <c r="B636" s="148" t="s">
        <v>369</v>
      </c>
      <c r="C636" s="149"/>
      <c r="D636" s="211" t="s">
        <v>368</v>
      </c>
      <c r="E636" s="137">
        <f t="shared" si="415"/>
        <v>500000</v>
      </c>
      <c r="F636" s="137">
        <f t="shared" si="415"/>
        <v>500000</v>
      </c>
      <c r="G636" s="229">
        <f t="shared" si="415"/>
        <v>500000</v>
      </c>
      <c r="H636" s="229">
        <f t="shared" si="415"/>
        <v>500000</v>
      </c>
      <c r="I636" s="613">
        <f t="shared" si="404"/>
        <v>1</v>
      </c>
      <c r="J636" s="531">
        <f t="shared" si="388"/>
        <v>1</v>
      </c>
    </row>
    <row r="637" spans="1:108" ht="15" customHeight="1">
      <c r="A637" s="200"/>
      <c r="B637" s="890" t="s">
        <v>223</v>
      </c>
      <c r="C637" s="873"/>
      <c r="D637" s="210" t="s">
        <v>44</v>
      </c>
      <c r="E637" s="137">
        <f>E21</f>
        <v>500000</v>
      </c>
      <c r="F637" s="137">
        <f>F21</f>
        <v>500000</v>
      </c>
      <c r="G637" s="229">
        <f>G21</f>
        <v>500000</v>
      </c>
      <c r="H637" s="229">
        <f>H21</f>
        <v>500000</v>
      </c>
      <c r="I637" s="613">
        <f t="shared" si="404"/>
        <v>1</v>
      </c>
      <c r="J637" s="531">
        <f t="shared" si="388"/>
        <v>1</v>
      </c>
    </row>
    <row r="638" spans="1:108" ht="26.25" customHeight="1">
      <c r="A638" s="953" t="s">
        <v>515</v>
      </c>
      <c r="B638" s="954"/>
      <c r="C638" s="954"/>
      <c r="D638" s="219" t="s">
        <v>366</v>
      </c>
      <c r="E638" s="135">
        <f t="shared" ref="E638:H638" si="416">E639</f>
        <v>86378000</v>
      </c>
      <c r="F638" s="135">
        <f t="shared" si="416"/>
        <v>47609000</v>
      </c>
      <c r="G638" s="233">
        <f t="shared" si="416"/>
        <v>48804062.439999998</v>
      </c>
      <c r="H638" s="233">
        <f t="shared" si="416"/>
        <v>48804062.439999998</v>
      </c>
      <c r="I638" s="613">
        <f t="shared" ref="I638:I644" si="417">H638/F638</f>
        <v>1.0251016076792203</v>
      </c>
      <c r="J638" s="531">
        <f t="shared" si="388"/>
        <v>97.608124879999991</v>
      </c>
    </row>
    <row r="639" spans="1:108" ht="15" customHeight="1">
      <c r="A639" s="200" t="s">
        <v>365</v>
      </c>
      <c r="B639" s="149"/>
      <c r="C639" s="213"/>
      <c r="D639" s="211" t="s">
        <v>364</v>
      </c>
      <c r="E639" s="135">
        <f t="shared" ref="E639" si="418">E640+E641</f>
        <v>86378000</v>
      </c>
      <c r="F639" s="135">
        <f t="shared" ref="F639:H639" si="419">F640+F641</f>
        <v>47609000</v>
      </c>
      <c r="G639" s="233">
        <f t="shared" si="419"/>
        <v>48804062.439999998</v>
      </c>
      <c r="H639" s="233">
        <f t="shared" si="419"/>
        <v>48804062.439999998</v>
      </c>
      <c r="I639" s="613">
        <f t="shared" si="417"/>
        <v>1.0251016076792203</v>
      </c>
      <c r="J639" s="531">
        <f t="shared" si="388"/>
        <v>1</v>
      </c>
    </row>
    <row r="640" spans="1:108" ht="15" customHeight="1">
      <c r="A640" s="218" t="s">
        <v>514</v>
      </c>
      <c r="B640" s="878" t="s">
        <v>363</v>
      </c>
      <c r="C640" s="805"/>
      <c r="D640" s="211" t="s">
        <v>362</v>
      </c>
      <c r="E640" s="137">
        <f t="shared" ref="E640:H641" si="420">E24</f>
        <v>75766000</v>
      </c>
      <c r="F640" s="137">
        <f t="shared" si="420"/>
        <v>42304000</v>
      </c>
      <c r="G640" s="229">
        <f t="shared" si="420"/>
        <v>42810531.479999997</v>
      </c>
      <c r="H640" s="229">
        <f t="shared" si="420"/>
        <v>42810531.479999997</v>
      </c>
      <c r="I640" s="613">
        <f t="shared" si="417"/>
        <v>1.0119736072239032</v>
      </c>
      <c r="J640" s="531">
        <f t="shared" si="388"/>
        <v>0.87719196598913296</v>
      </c>
    </row>
    <row r="641" spans="1:108" ht="15" customHeight="1">
      <c r="A641" s="218" t="s">
        <v>513</v>
      </c>
      <c r="B641" s="863" t="s">
        <v>361</v>
      </c>
      <c r="C641" s="863"/>
      <c r="D641" s="211" t="s">
        <v>360</v>
      </c>
      <c r="E641" s="137">
        <f t="shared" si="420"/>
        <v>10612000</v>
      </c>
      <c r="F641" s="137">
        <f t="shared" si="420"/>
        <v>5305000</v>
      </c>
      <c r="G641" s="229">
        <f t="shared" si="420"/>
        <v>5993530.96</v>
      </c>
      <c r="H641" s="229">
        <f t="shared" si="420"/>
        <v>5993530.96</v>
      </c>
      <c r="I641" s="613">
        <f t="shared" si="417"/>
        <v>1.1297890593779454</v>
      </c>
      <c r="J641" s="531">
        <f t="shared" si="388"/>
        <v>0.14000132100205359</v>
      </c>
    </row>
    <row r="642" spans="1:108" ht="15" customHeight="1">
      <c r="A642" s="918" t="s">
        <v>512</v>
      </c>
      <c r="B642" s="919"/>
      <c r="C642" s="920"/>
      <c r="D642" s="206" t="s">
        <v>358</v>
      </c>
      <c r="E642" s="135">
        <f t="shared" ref="E642:H643" si="421">E643</f>
        <v>5000</v>
      </c>
      <c r="F642" s="135">
        <f t="shared" si="421"/>
        <v>3000</v>
      </c>
      <c r="G642" s="233">
        <f t="shared" si="421"/>
        <v>4017</v>
      </c>
      <c r="H642" s="233">
        <f t="shared" si="421"/>
        <v>4017</v>
      </c>
      <c r="I642" s="613">
        <f t="shared" si="417"/>
        <v>1.339</v>
      </c>
      <c r="J642" s="531">
        <f t="shared" ref="J642:J705" si="422">(H642/H641)</f>
        <v>6.7022261615213219E-4</v>
      </c>
    </row>
    <row r="643" spans="1:108" ht="15" customHeight="1">
      <c r="A643" s="200" t="s">
        <v>357</v>
      </c>
      <c r="B643" s="149"/>
      <c r="C643" s="148"/>
      <c r="D643" s="211" t="s">
        <v>356</v>
      </c>
      <c r="E643" s="135">
        <f t="shared" si="421"/>
        <v>5000</v>
      </c>
      <c r="F643" s="135">
        <f t="shared" si="421"/>
        <v>3000</v>
      </c>
      <c r="G643" s="233">
        <f t="shared" si="421"/>
        <v>4017</v>
      </c>
      <c r="H643" s="233">
        <f t="shared" si="421"/>
        <v>4017</v>
      </c>
      <c r="I643" s="613">
        <f t="shared" si="417"/>
        <v>1.339</v>
      </c>
      <c r="J643" s="531">
        <f t="shared" si="422"/>
        <v>1</v>
      </c>
    </row>
    <row r="644" spans="1:108" ht="15" customHeight="1">
      <c r="A644" s="200"/>
      <c r="B644" s="878" t="s">
        <v>355</v>
      </c>
      <c r="C644" s="805"/>
      <c r="D644" s="211" t="s">
        <v>354</v>
      </c>
      <c r="E644" s="137">
        <f>E28</f>
        <v>5000</v>
      </c>
      <c r="F644" s="137">
        <f>F28</f>
        <v>3000</v>
      </c>
      <c r="G644" s="229">
        <f>G28</f>
        <v>4017</v>
      </c>
      <c r="H644" s="229">
        <f>H28</f>
        <v>4017</v>
      </c>
      <c r="I644" s="613">
        <f t="shared" si="417"/>
        <v>1.339</v>
      </c>
      <c r="J644" s="531">
        <f t="shared" si="422"/>
        <v>1</v>
      </c>
    </row>
    <row r="645" spans="1:108" s="2" customFormat="1" ht="15" customHeight="1">
      <c r="A645" s="200" t="s">
        <v>353</v>
      </c>
      <c r="B645" s="213"/>
      <c r="C645" s="148"/>
      <c r="D645" s="149" t="s">
        <v>352</v>
      </c>
      <c r="E645" s="137"/>
      <c r="F645" s="137"/>
      <c r="G645" s="229"/>
      <c r="H645" s="229"/>
      <c r="I645" s="613"/>
      <c r="J645" s="531">
        <f t="shared" si="422"/>
        <v>0</v>
      </c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</row>
    <row r="646" spans="1:108" s="2" customFormat="1" ht="15" customHeight="1">
      <c r="A646" s="200" t="s">
        <v>351</v>
      </c>
      <c r="B646" s="149"/>
      <c r="C646" s="217"/>
      <c r="D646" s="211" t="s">
        <v>350</v>
      </c>
      <c r="E646" s="137"/>
      <c r="F646" s="137"/>
      <c r="G646" s="229"/>
      <c r="H646" s="229"/>
      <c r="I646" s="613"/>
      <c r="J646" s="531" t="e">
        <f t="shared" si="422"/>
        <v>#DIV/0!</v>
      </c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</row>
    <row r="647" spans="1:108" s="2" customFormat="1" ht="15" customHeight="1">
      <c r="A647" s="200"/>
      <c r="B647" s="148" t="s">
        <v>349</v>
      </c>
      <c r="C647" s="149"/>
      <c r="D647" s="211" t="s">
        <v>348</v>
      </c>
      <c r="E647" s="137"/>
      <c r="F647" s="137"/>
      <c r="G647" s="229"/>
      <c r="H647" s="229"/>
      <c r="I647" s="613"/>
      <c r="J647" s="531" t="e">
        <f t="shared" si="422"/>
        <v>#DIV/0!</v>
      </c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</row>
    <row r="648" spans="1:108" s="2" customFormat="1" ht="15" customHeight="1">
      <c r="A648" s="200" t="s">
        <v>347</v>
      </c>
      <c r="B648" s="148"/>
      <c r="C648" s="213"/>
      <c r="D648" s="149" t="s">
        <v>346</v>
      </c>
      <c r="E648" s="137"/>
      <c r="F648" s="137"/>
      <c r="G648" s="229"/>
      <c r="H648" s="229"/>
      <c r="I648" s="613"/>
      <c r="J648" s="531" t="e">
        <f t="shared" si="422"/>
        <v>#DIV/0!</v>
      </c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</row>
    <row r="649" spans="1:108" s="2" customFormat="1" ht="15" customHeight="1">
      <c r="A649" s="200" t="s">
        <v>345</v>
      </c>
      <c r="B649" s="149"/>
      <c r="C649" s="148"/>
      <c r="D649" s="216" t="s">
        <v>344</v>
      </c>
      <c r="E649" s="137"/>
      <c r="F649" s="137"/>
      <c r="G649" s="229"/>
      <c r="H649" s="229"/>
      <c r="I649" s="613"/>
      <c r="J649" s="531" t="e">
        <f t="shared" si="422"/>
        <v>#DIV/0!</v>
      </c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</row>
    <row r="650" spans="1:108" s="2" customFormat="1" ht="15" customHeight="1">
      <c r="A650" s="202"/>
      <c r="B650" s="148" t="s">
        <v>343</v>
      </c>
      <c r="C650" s="149"/>
      <c r="D650" s="216" t="s">
        <v>342</v>
      </c>
      <c r="E650" s="137"/>
      <c r="F650" s="137"/>
      <c r="G650" s="229"/>
      <c r="H650" s="229"/>
      <c r="I650" s="613"/>
      <c r="J650" s="531" t="e">
        <f t="shared" si="422"/>
        <v>#DIV/0!</v>
      </c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</row>
    <row r="651" spans="1:108" s="2" customFormat="1" ht="15" customHeight="1">
      <c r="A651" s="202"/>
      <c r="B651" s="148" t="s">
        <v>341</v>
      </c>
      <c r="C651" s="149"/>
      <c r="D651" s="216" t="s">
        <v>340</v>
      </c>
      <c r="E651" s="137"/>
      <c r="F651" s="137"/>
      <c r="G651" s="229"/>
      <c r="H651" s="229"/>
      <c r="I651" s="613"/>
      <c r="J651" s="531" t="e">
        <f t="shared" si="422"/>
        <v>#DIV/0!</v>
      </c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</row>
    <row r="652" spans="1:108" s="2" customFormat="1" ht="15" customHeight="1">
      <c r="A652" s="202"/>
      <c r="B652" s="912" t="s">
        <v>339</v>
      </c>
      <c r="C652" s="912"/>
      <c r="D652" s="216" t="s">
        <v>338</v>
      </c>
      <c r="E652" s="137"/>
      <c r="F652" s="137"/>
      <c r="G652" s="229"/>
      <c r="H652" s="229"/>
      <c r="I652" s="613"/>
      <c r="J652" s="531" t="e">
        <f t="shared" si="422"/>
        <v>#DIV/0!</v>
      </c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</row>
    <row r="653" spans="1:108" s="2" customFormat="1" ht="15" customHeight="1">
      <c r="A653" s="202"/>
      <c r="B653" s="148" t="s">
        <v>337</v>
      </c>
      <c r="C653" s="149"/>
      <c r="D653" s="216" t="s">
        <v>336</v>
      </c>
      <c r="E653" s="137"/>
      <c r="F653" s="137"/>
      <c r="G653" s="229"/>
      <c r="H653" s="229"/>
      <c r="I653" s="613"/>
      <c r="J653" s="531" t="e">
        <f t="shared" si="422"/>
        <v>#DIV/0!</v>
      </c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</row>
    <row r="654" spans="1:108" s="2" customFormat="1" ht="15" customHeight="1">
      <c r="A654" s="918" t="s">
        <v>335</v>
      </c>
      <c r="B654" s="919"/>
      <c r="C654" s="920"/>
      <c r="D654" s="206" t="s">
        <v>334</v>
      </c>
      <c r="E654" s="187">
        <f t="shared" ref="E654" si="423">E655+E669+E672</f>
        <v>104313000</v>
      </c>
      <c r="F654" s="187">
        <f t="shared" ref="F654:H654" si="424">F655+F669+F672</f>
        <v>49767000</v>
      </c>
      <c r="G654" s="334">
        <f t="shared" si="424"/>
        <v>36388905.900000006</v>
      </c>
      <c r="H654" s="334">
        <f t="shared" si="424"/>
        <v>36388905.900000006</v>
      </c>
      <c r="I654" s="613">
        <f>H654/F654</f>
        <v>0.73118544216046788</v>
      </c>
      <c r="J654" s="531" t="e">
        <f t="shared" si="422"/>
        <v>#DIV/0!</v>
      </c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</row>
    <row r="655" spans="1:108" s="2" customFormat="1" ht="15" customHeight="1">
      <c r="A655" s="916" t="s">
        <v>333</v>
      </c>
      <c r="B655" s="917"/>
      <c r="C655" s="917"/>
      <c r="D655" s="214" t="s">
        <v>332</v>
      </c>
      <c r="E655" s="187">
        <f t="shared" ref="E655" si="425">E656+E664+E665+E666</f>
        <v>102568000</v>
      </c>
      <c r="F655" s="187">
        <f t="shared" ref="F655:H655" si="426">F656+F664+F665+F666</f>
        <v>48987000</v>
      </c>
      <c r="G655" s="334">
        <f t="shared" si="426"/>
        <v>35158800</v>
      </c>
      <c r="H655" s="334">
        <f t="shared" si="426"/>
        <v>35158800</v>
      </c>
      <c r="I655" s="613">
        <f>H655/F655</f>
        <v>0.71771694531202157</v>
      </c>
      <c r="J655" s="531">
        <f t="shared" si="422"/>
        <v>0.96619557885635676</v>
      </c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</row>
    <row r="656" spans="1:108" s="2" customFormat="1" ht="24.75" customHeight="1">
      <c r="A656" s="202"/>
      <c r="B656" s="942" t="s">
        <v>511</v>
      </c>
      <c r="C656" s="942"/>
      <c r="D656" s="214" t="s">
        <v>330</v>
      </c>
      <c r="E656" s="201">
        <f t="shared" ref="E656:H662" si="427">E40</f>
        <v>59603000</v>
      </c>
      <c r="F656" s="201">
        <f t="shared" si="427"/>
        <v>29184000</v>
      </c>
      <c r="G656" s="437">
        <f t="shared" si="427"/>
        <v>20124400</v>
      </c>
      <c r="H656" s="437">
        <f t="shared" si="427"/>
        <v>20124400</v>
      </c>
      <c r="I656" s="613">
        <f>H656/F656</f>
        <v>0.68956962719298243</v>
      </c>
      <c r="J656" s="531">
        <f t="shared" si="422"/>
        <v>0.57238586072334663</v>
      </c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</row>
    <row r="657" spans="1:108" s="2" customFormat="1" ht="15" hidden="1" customHeight="1">
      <c r="A657" s="199"/>
      <c r="B657" s="951" t="s">
        <v>510</v>
      </c>
      <c r="C657" s="952"/>
      <c r="D657" s="206" t="s">
        <v>73</v>
      </c>
      <c r="E657" s="137">
        <f t="shared" si="427"/>
        <v>0</v>
      </c>
      <c r="F657" s="137">
        <f t="shared" si="427"/>
        <v>0</v>
      </c>
      <c r="G657" s="229">
        <f t="shared" si="427"/>
        <v>0</v>
      </c>
      <c r="H657" s="229">
        <f t="shared" si="427"/>
        <v>0</v>
      </c>
      <c r="I657" s="613"/>
      <c r="J657" s="531">
        <f t="shared" si="422"/>
        <v>0</v>
      </c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</row>
    <row r="658" spans="1:108" s="2" customFormat="1" ht="16.149999999999999" hidden="1" customHeight="1">
      <c r="A658" s="199"/>
      <c r="B658" s="952" t="s">
        <v>509</v>
      </c>
      <c r="C658" s="952"/>
      <c r="D658" s="206" t="s">
        <v>73</v>
      </c>
      <c r="E658" s="137">
        <f t="shared" si="427"/>
        <v>0</v>
      </c>
      <c r="F658" s="137">
        <f t="shared" si="427"/>
        <v>0</v>
      </c>
      <c r="G658" s="229">
        <f t="shared" si="427"/>
        <v>0</v>
      </c>
      <c r="H658" s="229">
        <f t="shared" si="427"/>
        <v>0</v>
      </c>
      <c r="I658" s="613"/>
      <c r="J658" s="531" t="e">
        <f t="shared" si="422"/>
        <v>#DIV/0!</v>
      </c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</row>
    <row r="659" spans="1:108" s="2" customFormat="1" ht="24.6" hidden="1" customHeight="1">
      <c r="A659" s="199"/>
      <c r="B659" s="947" t="s">
        <v>508</v>
      </c>
      <c r="C659" s="948"/>
      <c r="D659" s="206" t="s">
        <v>507</v>
      </c>
      <c r="E659" s="137">
        <f t="shared" si="427"/>
        <v>0</v>
      </c>
      <c r="F659" s="137">
        <f t="shared" si="427"/>
        <v>0</v>
      </c>
      <c r="G659" s="229">
        <f t="shared" si="427"/>
        <v>0</v>
      </c>
      <c r="H659" s="229">
        <f t="shared" si="427"/>
        <v>0</v>
      </c>
      <c r="I659" s="613"/>
      <c r="J659" s="531" t="e">
        <f t="shared" si="422"/>
        <v>#DIV/0!</v>
      </c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</row>
    <row r="660" spans="1:108" s="2" customFormat="1" ht="24.6" hidden="1" customHeight="1">
      <c r="A660" s="199"/>
      <c r="B660" s="877" t="s">
        <v>506</v>
      </c>
      <c r="C660" s="877"/>
      <c r="D660" s="206" t="s">
        <v>44</v>
      </c>
      <c r="E660" s="137">
        <f t="shared" si="427"/>
        <v>0</v>
      </c>
      <c r="F660" s="137">
        <f t="shared" si="427"/>
        <v>0</v>
      </c>
      <c r="G660" s="229">
        <f t="shared" si="427"/>
        <v>0</v>
      </c>
      <c r="H660" s="229">
        <f t="shared" si="427"/>
        <v>0</v>
      </c>
      <c r="I660" s="613"/>
      <c r="J660" s="531" t="e">
        <f t="shared" si="422"/>
        <v>#DIV/0!</v>
      </c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</row>
    <row r="661" spans="1:108" s="2" customFormat="1" ht="26.25" hidden="1" customHeight="1">
      <c r="A661" s="199"/>
      <c r="B661" s="949" t="s">
        <v>505</v>
      </c>
      <c r="C661" s="950"/>
      <c r="D661" s="568" t="s">
        <v>73</v>
      </c>
      <c r="E661" s="137">
        <f t="shared" si="427"/>
        <v>0</v>
      </c>
      <c r="F661" s="137">
        <f t="shared" si="427"/>
        <v>0</v>
      </c>
      <c r="G661" s="229">
        <f t="shared" si="427"/>
        <v>0</v>
      </c>
      <c r="H661" s="229">
        <f t="shared" si="427"/>
        <v>0</v>
      </c>
      <c r="I661" s="613"/>
      <c r="J661" s="531" t="e">
        <f t="shared" si="422"/>
        <v>#DIV/0!</v>
      </c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</row>
    <row r="662" spans="1:108" s="2" customFormat="1" ht="26.25" hidden="1" customHeight="1">
      <c r="A662" s="199"/>
      <c r="B662" s="877" t="s">
        <v>504</v>
      </c>
      <c r="C662" s="877"/>
      <c r="D662" s="568" t="s">
        <v>73</v>
      </c>
      <c r="E662" s="137">
        <f t="shared" si="427"/>
        <v>0</v>
      </c>
      <c r="F662" s="137">
        <f t="shared" si="427"/>
        <v>0</v>
      </c>
      <c r="G662" s="229">
        <f t="shared" si="427"/>
        <v>0</v>
      </c>
      <c r="H662" s="229">
        <f t="shared" si="427"/>
        <v>0</v>
      </c>
      <c r="I662" s="613"/>
      <c r="J662" s="531" t="e">
        <f t="shared" si="422"/>
        <v>#DIV/0!</v>
      </c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</row>
    <row r="663" spans="1:108" s="2" customFormat="1" ht="26.25" hidden="1" customHeight="1">
      <c r="A663" s="199"/>
      <c r="B663" s="949" t="s">
        <v>503</v>
      </c>
      <c r="C663" s="950"/>
      <c r="D663" s="206" t="s">
        <v>44</v>
      </c>
      <c r="E663" s="137"/>
      <c r="F663" s="137"/>
      <c r="G663" s="229"/>
      <c r="H663" s="229"/>
      <c r="I663" s="613"/>
      <c r="J663" s="531" t="e">
        <f t="shared" si="422"/>
        <v>#DIV/0!</v>
      </c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</row>
    <row r="664" spans="1:108" s="2" customFormat="1" ht="18" customHeight="1">
      <c r="A664" s="202"/>
      <c r="B664" s="215" t="s">
        <v>323</v>
      </c>
      <c r="C664" s="215"/>
      <c r="D664" s="214" t="s">
        <v>322</v>
      </c>
      <c r="E664" s="201">
        <f t="shared" ref="E664:H666" si="428">E48</f>
        <v>11757000</v>
      </c>
      <c r="F664" s="201">
        <f t="shared" si="428"/>
        <v>7339000</v>
      </c>
      <c r="G664" s="437">
        <f t="shared" si="428"/>
        <v>4155800</v>
      </c>
      <c r="H664" s="437">
        <f t="shared" si="428"/>
        <v>4155800</v>
      </c>
      <c r="I664" s="613">
        <f t="shared" ref="I664:I669" si="429">H664/F664</f>
        <v>0.56626243357405637</v>
      </c>
      <c r="J664" s="531" t="e">
        <f t="shared" si="422"/>
        <v>#DIV/0!</v>
      </c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</row>
    <row r="665" spans="1:108" s="2" customFormat="1" ht="25.5" customHeight="1">
      <c r="A665" s="202"/>
      <c r="B665" s="942" t="s">
        <v>321</v>
      </c>
      <c r="C665" s="942"/>
      <c r="D665" s="214" t="s">
        <v>320</v>
      </c>
      <c r="E665" s="201">
        <f t="shared" si="428"/>
        <v>31116000</v>
      </c>
      <c r="F665" s="201">
        <f t="shared" si="428"/>
        <v>12418000</v>
      </c>
      <c r="G665" s="437">
        <f t="shared" si="428"/>
        <v>10878600</v>
      </c>
      <c r="H665" s="437">
        <f t="shared" si="428"/>
        <v>10878600</v>
      </c>
      <c r="I665" s="613">
        <f t="shared" si="429"/>
        <v>0.87603478821066194</v>
      </c>
      <c r="J665" s="531">
        <f t="shared" si="422"/>
        <v>2.6176909379662159</v>
      </c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</row>
    <row r="666" spans="1:108" s="2" customFormat="1" ht="25.5" customHeight="1">
      <c r="A666" s="202"/>
      <c r="B666" s="945" t="s">
        <v>501</v>
      </c>
      <c r="C666" s="942"/>
      <c r="D666" s="214" t="s">
        <v>502</v>
      </c>
      <c r="E666" s="201">
        <f t="shared" si="428"/>
        <v>92000</v>
      </c>
      <c r="F666" s="201">
        <f t="shared" si="428"/>
        <v>46000</v>
      </c>
      <c r="G666" s="201">
        <f t="shared" si="428"/>
        <v>0</v>
      </c>
      <c r="H666" s="201">
        <f t="shared" si="428"/>
        <v>0</v>
      </c>
      <c r="I666" s="613">
        <f t="shared" si="429"/>
        <v>0</v>
      </c>
      <c r="J666" s="531">
        <f t="shared" si="422"/>
        <v>0</v>
      </c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</row>
    <row r="667" spans="1:108" s="2" customFormat="1" ht="25.5" hidden="1" customHeight="1">
      <c r="A667" s="202"/>
      <c r="B667" s="922" t="s">
        <v>501</v>
      </c>
      <c r="C667" s="933"/>
      <c r="D667" s="568" t="s">
        <v>73</v>
      </c>
      <c r="E667" s="137"/>
      <c r="F667" s="137"/>
      <c r="G667" s="229"/>
      <c r="H667" s="229"/>
      <c r="I667" s="613" t="e">
        <f t="shared" si="429"/>
        <v>#DIV/0!</v>
      </c>
      <c r="J667" s="531" t="e">
        <f t="shared" si="422"/>
        <v>#DIV/0!</v>
      </c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</row>
    <row r="668" spans="1:108" s="2" customFormat="1" ht="25.5" hidden="1" customHeight="1">
      <c r="A668" s="202"/>
      <c r="B668" s="922" t="s">
        <v>501</v>
      </c>
      <c r="C668" s="933"/>
      <c r="D668" s="568" t="s">
        <v>73</v>
      </c>
      <c r="E668" s="137"/>
      <c r="F668" s="137"/>
      <c r="G668" s="229"/>
      <c r="H668" s="229"/>
      <c r="I668" s="613" t="e">
        <f t="shared" si="429"/>
        <v>#DIV/0!</v>
      </c>
      <c r="J668" s="531" t="e">
        <f t="shared" si="422"/>
        <v>#DIV/0!</v>
      </c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</row>
    <row r="669" spans="1:108" s="2" customFormat="1" ht="15" customHeight="1">
      <c r="A669" s="923" t="s">
        <v>319</v>
      </c>
      <c r="B669" s="924"/>
      <c r="C669" s="925"/>
      <c r="D669" s="209" t="s">
        <v>318</v>
      </c>
      <c r="E669" s="201">
        <f>E53</f>
        <v>16000</v>
      </c>
      <c r="F669" s="201">
        <f>F53</f>
        <v>8000</v>
      </c>
      <c r="G669" s="437">
        <f>G53</f>
        <v>23939.7</v>
      </c>
      <c r="H669" s="437">
        <f>H53</f>
        <v>23939.7</v>
      </c>
      <c r="I669" s="613">
        <f t="shared" si="429"/>
        <v>2.9924625000000002</v>
      </c>
      <c r="J669" s="531" t="e">
        <f t="shared" si="422"/>
        <v>#DIV/0!</v>
      </c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</row>
    <row r="670" spans="1:108" s="2" customFormat="1" ht="15" customHeight="1">
      <c r="A670" s="202"/>
      <c r="B670" s="148" t="s">
        <v>317</v>
      </c>
      <c r="C670" s="149"/>
      <c r="D670" s="211" t="s">
        <v>316</v>
      </c>
      <c r="E670" s="137"/>
      <c r="F670" s="137"/>
      <c r="G670" s="229"/>
      <c r="H670" s="229"/>
      <c r="I670" s="613"/>
      <c r="J670" s="531">
        <f t="shared" si="422"/>
        <v>0</v>
      </c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</row>
    <row r="671" spans="1:108" s="2" customFormat="1" ht="15" customHeight="1">
      <c r="A671" s="202"/>
      <c r="B671" s="212" t="s">
        <v>315</v>
      </c>
      <c r="C671" s="149"/>
      <c r="D671" s="211" t="s">
        <v>314</v>
      </c>
      <c r="E671" s="137">
        <f>E55</f>
        <v>16000</v>
      </c>
      <c r="F671" s="137">
        <f>F55</f>
        <v>8000</v>
      </c>
      <c r="G671" s="229">
        <f>G55</f>
        <v>23939.7</v>
      </c>
      <c r="H671" s="229">
        <f>H55</f>
        <v>23939.7</v>
      </c>
      <c r="I671" s="613">
        <f t="shared" ref="I671:I677" si="430">H671/F671</f>
        <v>2.9924625000000002</v>
      </c>
      <c r="J671" s="531" t="e">
        <f t="shared" si="422"/>
        <v>#DIV/0!</v>
      </c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</row>
    <row r="672" spans="1:108" s="2" customFormat="1" ht="24" customHeight="1">
      <c r="A672" s="946" t="s">
        <v>313</v>
      </c>
      <c r="B672" s="942"/>
      <c r="C672" s="942"/>
      <c r="D672" s="209" t="s">
        <v>312</v>
      </c>
      <c r="E672" s="196">
        <f t="shared" ref="E672" si="431">E673+E676+E677</f>
        <v>1729000</v>
      </c>
      <c r="F672" s="196">
        <f t="shared" ref="F672:H672" si="432">F673+F676+F677</f>
        <v>772000</v>
      </c>
      <c r="G672" s="438">
        <f t="shared" si="432"/>
        <v>1206166.2</v>
      </c>
      <c r="H672" s="438">
        <f t="shared" si="432"/>
        <v>1206166.2</v>
      </c>
      <c r="I672" s="613">
        <f t="shared" si="430"/>
        <v>1.5623914507772021</v>
      </c>
      <c r="J672" s="531">
        <f t="shared" si="422"/>
        <v>50.383513577864377</v>
      </c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</row>
    <row r="673" spans="1:108" s="2" customFormat="1" ht="15" customHeight="1">
      <c r="A673" s="202"/>
      <c r="B673" s="878" t="s">
        <v>500</v>
      </c>
      <c r="C673" s="805"/>
      <c r="D673" s="209" t="s">
        <v>310</v>
      </c>
      <c r="E673" s="137">
        <f t="shared" ref="E673" si="433">E674+E675</f>
        <v>1729000</v>
      </c>
      <c r="F673" s="137">
        <f t="shared" ref="F673:H673" si="434">F674+F675</f>
        <v>772000</v>
      </c>
      <c r="G673" s="229">
        <f t="shared" si="434"/>
        <v>1206166.2</v>
      </c>
      <c r="H673" s="229">
        <f t="shared" si="434"/>
        <v>1206166.2</v>
      </c>
      <c r="I673" s="613">
        <f t="shared" si="430"/>
        <v>1.5623914507772021</v>
      </c>
      <c r="J673" s="531">
        <f t="shared" si="422"/>
        <v>1</v>
      </c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</row>
    <row r="674" spans="1:108" s="2" customFormat="1" ht="15" customHeight="1">
      <c r="A674" s="202"/>
      <c r="B674" s="944" t="s">
        <v>499</v>
      </c>
      <c r="C674" s="938"/>
      <c r="D674" s="210" t="s">
        <v>44</v>
      </c>
      <c r="E674" s="137">
        <f t="shared" ref="E674:H675" si="435">E58</f>
        <v>159000</v>
      </c>
      <c r="F674" s="137">
        <f t="shared" si="435"/>
        <v>84000</v>
      </c>
      <c r="G674" s="229">
        <f t="shared" si="435"/>
        <v>117405.32</v>
      </c>
      <c r="H674" s="229">
        <f t="shared" si="435"/>
        <v>117405.32</v>
      </c>
      <c r="I674" s="613">
        <f t="shared" si="430"/>
        <v>1.3976823809523811</v>
      </c>
      <c r="J674" s="531">
        <f t="shared" si="422"/>
        <v>9.7337597422312128E-2</v>
      </c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</row>
    <row r="675" spans="1:108" s="2" customFormat="1" ht="15" customHeight="1">
      <c r="A675" s="202"/>
      <c r="B675" s="944" t="s">
        <v>498</v>
      </c>
      <c r="C675" s="938"/>
      <c r="D675" s="210" t="s">
        <v>44</v>
      </c>
      <c r="E675" s="137">
        <f t="shared" si="435"/>
        <v>1570000</v>
      </c>
      <c r="F675" s="137">
        <f t="shared" si="435"/>
        <v>688000</v>
      </c>
      <c r="G675" s="229">
        <f t="shared" si="435"/>
        <v>1088760.8799999999</v>
      </c>
      <c r="H675" s="229">
        <f t="shared" si="435"/>
        <v>1088760.8799999999</v>
      </c>
      <c r="I675" s="613">
        <f t="shared" si="430"/>
        <v>1.5825012790697672</v>
      </c>
      <c r="J675" s="531">
        <f t="shared" si="422"/>
        <v>9.2735225286213598</v>
      </c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</row>
    <row r="676" spans="1:108" s="2" customFormat="1" ht="15" hidden="1" customHeight="1">
      <c r="A676" s="202"/>
      <c r="B676" s="933" t="s">
        <v>309</v>
      </c>
      <c r="C676" s="933"/>
      <c r="D676" s="211" t="s">
        <v>308</v>
      </c>
      <c r="E676" s="137"/>
      <c r="F676" s="137"/>
      <c r="G676" s="229"/>
      <c r="H676" s="229"/>
      <c r="I676" s="613" t="e">
        <f t="shared" si="430"/>
        <v>#DIV/0!</v>
      </c>
      <c r="J676" s="531">
        <f t="shared" si="422"/>
        <v>0</v>
      </c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</row>
    <row r="677" spans="1:108" s="2" customFormat="1" ht="15" hidden="1" customHeight="1">
      <c r="A677" s="202"/>
      <c r="B677" s="912" t="s">
        <v>307</v>
      </c>
      <c r="C677" s="912"/>
      <c r="D677" s="211" t="s">
        <v>306</v>
      </c>
      <c r="E677" s="137"/>
      <c r="F677" s="137"/>
      <c r="G677" s="229"/>
      <c r="H677" s="229"/>
      <c r="I677" s="613" t="e">
        <f t="shared" si="430"/>
        <v>#DIV/0!</v>
      </c>
      <c r="J677" s="531" t="e">
        <f t="shared" si="422"/>
        <v>#DIV/0!</v>
      </c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</row>
    <row r="678" spans="1:108" s="2" customFormat="1" ht="15" customHeight="1">
      <c r="A678" s="202" t="s">
        <v>305</v>
      </c>
      <c r="B678" s="212"/>
      <c r="C678" s="213"/>
      <c r="D678" s="149" t="s">
        <v>304</v>
      </c>
      <c r="E678" s="137"/>
      <c r="F678" s="137"/>
      <c r="G678" s="229"/>
      <c r="H678" s="229"/>
      <c r="I678" s="613"/>
      <c r="J678" s="531" t="e">
        <f t="shared" si="422"/>
        <v>#DIV/0!</v>
      </c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</row>
    <row r="679" spans="1:108" s="2" customFormat="1" ht="15" hidden="1" customHeight="1">
      <c r="A679" s="202" t="s">
        <v>303</v>
      </c>
      <c r="B679" s="149"/>
      <c r="C679" s="213"/>
      <c r="D679" s="211" t="s">
        <v>302</v>
      </c>
      <c r="E679" s="137"/>
      <c r="F679" s="137"/>
      <c r="G679" s="229"/>
      <c r="H679" s="229"/>
      <c r="I679" s="613" t="e">
        <f t="shared" ref="I679:I685" si="436">H679/F679</f>
        <v>#DIV/0!</v>
      </c>
      <c r="J679" s="531" t="e">
        <f t="shared" si="422"/>
        <v>#DIV/0!</v>
      </c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</row>
    <row r="680" spans="1:108" s="2" customFormat="1" ht="15" hidden="1" customHeight="1">
      <c r="A680" s="202"/>
      <c r="B680" s="212" t="s">
        <v>301</v>
      </c>
      <c r="C680" s="149"/>
      <c r="D680" s="211" t="s">
        <v>300</v>
      </c>
      <c r="E680" s="137"/>
      <c r="F680" s="137"/>
      <c r="G680" s="229"/>
      <c r="H680" s="229"/>
      <c r="I680" s="613" t="e">
        <f t="shared" si="436"/>
        <v>#DIV/0!</v>
      </c>
      <c r="J680" s="531" t="e">
        <f t="shared" si="422"/>
        <v>#DIV/0!</v>
      </c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</row>
    <row r="681" spans="1:108" s="2" customFormat="1" ht="15" customHeight="1">
      <c r="A681" s="936" t="s">
        <v>497</v>
      </c>
      <c r="B681" s="937"/>
      <c r="C681" s="937"/>
      <c r="D681" s="206" t="s">
        <v>298</v>
      </c>
      <c r="E681" s="187">
        <f t="shared" ref="E681" si="437">E682+E706</f>
        <v>10316000</v>
      </c>
      <c r="F681" s="187">
        <f t="shared" ref="F681:H681" si="438">F682+F706</f>
        <v>4418000</v>
      </c>
      <c r="G681" s="334">
        <f t="shared" si="438"/>
        <v>4324966.22</v>
      </c>
      <c r="H681" s="334">
        <f t="shared" si="438"/>
        <v>4324966.22</v>
      </c>
      <c r="I681" s="613">
        <f t="shared" si="436"/>
        <v>0.97894210502489809</v>
      </c>
      <c r="J681" s="531" t="e">
        <f t="shared" si="422"/>
        <v>#DIV/0!</v>
      </c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</row>
    <row r="682" spans="1:108" s="2" customFormat="1" ht="15" customHeight="1">
      <c r="A682" s="918" t="s">
        <v>297</v>
      </c>
      <c r="B682" s="919"/>
      <c r="C682" s="920"/>
      <c r="D682" s="206" t="s">
        <v>296</v>
      </c>
      <c r="E682" s="187">
        <f t="shared" ref="E682" si="439">E683+E704</f>
        <v>9891000</v>
      </c>
      <c r="F682" s="187">
        <f t="shared" ref="F682:H682" si="440">F683+F704</f>
        <v>4181000</v>
      </c>
      <c r="G682" s="334">
        <f t="shared" si="440"/>
        <v>3830225.8699999996</v>
      </c>
      <c r="H682" s="334">
        <f t="shared" si="440"/>
        <v>3830225.8699999996</v>
      </c>
      <c r="I682" s="613">
        <f t="shared" si="436"/>
        <v>0.91610281511600089</v>
      </c>
      <c r="J682" s="531">
        <f t="shared" si="422"/>
        <v>0.88560827418439347</v>
      </c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</row>
    <row r="683" spans="1:108" s="2" customFormat="1" ht="15" customHeight="1">
      <c r="A683" s="936" t="s">
        <v>295</v>
      </c>
      <c r="B683" s="937"/>
      <c r="C683" s="937"/>
      <c r="D683" s="209" t="s">
        <v>294</v>
      </c>
      <c r="E683" s="187">
        <f>E684+E686+E687+E688+E699+E703</f>
        <v>9891000</v>
      </c>
      <c r="F683" s="187">
        <f t="shared" ref="F683:H683" si="441">F684+F686+F687+F688+F699+F703</f>
        <v>4181000</v>
      </c>
      <c r="G683" s="334">
        <f t="shared" si="441"/>
        <v>3830225.8699999996</v>
      </c>
      <c r="H683" s="334">
        <f t="shared" si="441"/>
        <v>3830225.8699999996</v>
      </c>
      <c r="I683" s="613">
        <f t="shared" si="436"/>
        <v>0.91610281511600089</v>
      </c>
      <c r="J683" s="531">
        <f t="shared" si="422"/>
        <v>1</v>
      </c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</row>
    <row r="684" spans="1:108" s="2" customFormat="1" ht="25.9" customHeight="1">
      <c r="A684" s="202"/>
      <c r="B684" s="942" t="s">
        <v>293</v>
      </c>
      <c r="C684" s="942"/>
      <c r="D684" s="209" t="s">
        <v>292</v>
      </c>
      <c r="E684" s="137">
        <f t="shared" ref="E684:H684" si="442">E685</f>
        <v>110000</v>
      </c>
      <c r="F684" s="137">
        <f t="shared" si="442"/>
        <v>110000</v>
      </c>
      <c r="G684" s="229">
        <f t="shared" si="442"/>
        <v>238862</v>
      </c>
      <c r="H684" s="229">
        <f t="shared" si="442"/>
        <v>238862</v>
      </c>
      <c r="I684" s="616">
        <f t="shared" si="436"/>
        <v>2.1714727272727274</v>
      </c>
      <c r="J684" s="531">
        <f t="shared" si="422"/>
        <v>6.236237968911218E-2</v>
      </c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</row>
    <row r="685" spans="1:108" s="2" customFormat="1" ht="13.15" customHeight="1">
      <c r="A685" s="202"/>
      <c r="B685" s="943" t="s">
        <v>496</v>
      </c>
      <c r="C685" s="943"/>
      <c r="D685" s="210" t="s">
        <v>44</v>
      </c>
      <c r="E685" s="137">
        <f>E69</f>
        <v>110000</v>
      </c>
      <c r="F685" s="137">
        <f>F69</f>
        <v>110000</v>
      </c>
      <c r="G685" s="229">
        <f>G69</f>
        <v>238862</v>
      </c>
      <c r="H685" s="229">
        <f>H69</f>
        <v>238862</v>
      </c>
      <c r="I685" s="613">
        <f t="shared" si="436"/>
        <v>2.1714727272727274</v>
      </c>
      <c r="J685" s="531">
        <f t="shared" si="422"/>
        <v>1</v>
      </c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</row>
    <row r="686" spans="1:108" s="2" customFormat="1" ht="14.45" customHeight="1">
      <c r="A686" s="202"/>
      <c r="B686" s="148" t="s">
        <v>291</v>
      </c>
      <c r="C686" s="149"/>
      <c r="D686" s="209" t="s">
        <v>290</v>
      </c>
      <c r="E686" s="137"/>
      <c r="F686" s="137"/>
      <c r="G686" s="229"/>
      <c r="H686" s="229"/>
      <c r="I686" s="613"/>
      <c r="J686" s="531">
        <f t="shared" si="422"/>
        <v>0</v>
      </c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</row>
    <row r="687" spans="1:108" s="2" customFormat="1" ht="14.45" customHeight="1">
      <c r="A687" s="923" t="s">
        <v>714</v>
      </c>
      <c r="B687" s="924"/>
      <c r="C687" s="925"/>
      <c r="D687" s="209" t="s">
        <v>716</v>
      </c>
      <c r="E687" s="137">
        <f t="shared" ref="E687:H694" si="443">E71</f>
        <v>0</v>
      </c>
      <c r="F687" s="137">
        <f t="shared" si="443"/>
        <v>0</v>
      </c>
      <c r="G687" s="229">
        <f t="shared" si="443"/>
        <v>35564.730000000003</v>
      </c>
      <c r="H687" s="229">
        <f t="shared" si="443"/>
        <v>35564.730000000003</v>
      </c>
      <c r="I687" s="613"/>
      <c r="J687" s="531" t="e">
        <f t="shared" si="422"/>
        <v>#DIV/0!</v>
      </c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</row>
    <row r="688" spans="1:108" s="2" customFormat="1" ht="15" customHeight="1">
      <c r="A688" s="918" t="s">
        <v>495</v>
      </c>
      <c r="B688" s="919"/>
      <c r="C688" s="920"/>
      <c r="D688" s="209" t="s">
        <v>713</v>
      </c>
      <c r="E688" s="201">
        <f t="shared" si="443"/>
        <v>9555000</v>
      </c>
      <c r="F688" s="201">
        <f t="shared" si="443"/>
        <v>3845000</v>
      </c>
      <c r="G688" s="437">
        <f t="shared" si="443"/>
        <v>3367547.1399999997</v>
      </c>
      <c r="H688" s="437">
        <f t="shared" si="443"/>
        <v>3367547.1399999997</v>
      </c>
      <c r="I688" s="613">
        <f>H688/F688</f>
        <v>0.87582500390117024</v>
      </c>
      <c r="J688" s="531">
        <f t="shared" si="422"/>
        <v>94.687830893134844</v>
      </c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</row>
    <row r="689" spans="1:108" s="2" customFormat="1" ht="15" customHeight="1">
      <c r="A689" s="936" t="s">
        <v>494</v>
      </c>
      <c r="B689" s="937"/>
      <c r="C689" s="937"/>
      <c r="D689" s="211"/>
      <c r="E689" s="201">
        <f t="shared" si="443"/>
        <v>9098000</v>
      </c>
      <c r="F689" s="201">
        <f t="shared" si="443"/>
        <v>3542000</v>
      </c>
      <c r="G689" s="437">
        <f t="shared" si="443"/>
        <v>2960571.9399999995</v>
      </c>
      <c r="H689" s="437">
        <f t="shared" si="443"/>
        <v>2960571.9399999995</v>
      </c>
      <c r="I689" s="613">
        <f>H689/F689</f>
        <v>0.83584752682100494</v>
      </c>
      <c r="J689" s="531">
        <f t="shared" si="422"/>
        <v>0.87914788328694327</v>
      </c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</row>
    <row r="690" spans="1:108" s="2" customFormat="1" ht="15" customHeight="1">
      <c r="A690" s="202"/>
      <c r="B690" s="873" t="s">
        <v>493</v>
      </c>
      <c r="C690" s="873"/>
      <c r="D690" s="210" t="s">
        <v>44</v>
      </c>
      <c r="E690" s="137">
        <f t="shared" si="443"/>
        <v>1000</v>
      </c>
      <c r="F690" s="137">
        <f t="shared" si="443"/>
        <v>1000</v>
      </c>
      <c r="G690" s="229">
        <f t="shared" si="443"/>
        <v>0</v>
      </c>
      <c r="H690" s="229">
        <f t="shared" si="443"/>
        <v>0</v>
      </c>
      <c r="I690" s="613">
        <f>H690/F690</f>
        <v>0</v>
      </c>
      <c r="J690" s="531">
        <f t="shared" si="422"/>
        <v>0</v>
      </c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</row>
    <row r="691" spans="1:108" s="2" customFormat="1" ht="15" customHeight="1">
      <c r="A691" s="202"/>
      <c r="B691" s="873" t="s">
        <v>492</v>
      </c>
      <c r="C691" s="873"/>
      <c r="D691" s="210" t="s">
        <v>44</v>
      </c>
      <c r="E691" s="137">
        <f t="shared" si="443"/>
        <v>271000</v>
      </c>
      <c r="F691" s="137">
        <f t="shared" si="443"/>
        <v>135000</v>
      </c>
      <c r="G691" s="229">
        <f t="shared" si="443"/>
        <v>67000</v>
      </c>
      <c r="H691" s="229">
        <f t="shared" si="443"/>
        <v>67000</v>
      </c>
      <c r="I691" s="613">
        <f>H691/F691</f>
        <v>0.49629629629629629</v>
      </c>
      <c r="J691" s="531" t="e">
        <f t="shared" si="422"/>
        <v>#DIV/0!</v>
      </c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</row>
    <row r="692" spans="1:108" s="2" customFormat="1" ht="15" customHeight="1">
      <c r="A692" s="202"/>
      <c r="B692" s="873" t="s">
        <v>491</v>
      </c>
      <c r="C692" s="873"/>
      <c r="D692" s="210" t="s">
        <v>44</v>
      </c>
      <c r="E692" s="137">
        <f t="shared" si="443"/>
        <v>4069000</v>
      </c>
      <c r="F692" s="137">
        <f t="shared" si="443"/>
        <v>1029000</v>
      </c>
      <c r="G692" s="229">
        <f t="shared" si="443"/>
        <v>1028137.36</v>
      </c>
      <c r="H692" s="229">
        <f t="shared" si="443"/>
        <v>1028137.36</v>
      </c>
      <c r="I692" s="613">
        <f>H692/F692</f>
        <v>0.99916167152575319</v>
      </c>
      <c r="J692" s="531">
        <f t="shared" si="422"/>
        <v>15.345333731343283</v>
      </c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</row>
    <row r="693" spans="1:108" s="2" customFormat="1" ht="15" customHeight="1">
      <c r="A693" s="202"/>
      <c r="B693" s="939" t="s">
        <v>712</v>
      </c>
      <c r="C693" s="873"/>
      <c r="D693" s="210" t="s">
        <v>44</v>
      </c>
      <c r="E693" s="137">
        <f t="shared" si="443"/>
        <v>0</v>
      </c>
      <c r="F693" s="137">
        <f t="shared" si="443"/>
        <v>0</v>
      </c>
      <c r="G693" s="229">
        <f t="shared" si="443"/>
        <v>0</v>
      </c>
      <c r="H693" s="229">
        <f t="shared" si="443"/>
        <v>0</v>
      </c>
      <c r="I693" s="613"/>
      <c r="J693" s="531">
        <f t="shared" si="422"/>
        <v>0</v>
      </c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</row>
    <row r="694" spans="1:108" s="2" customFormat="1" ht="15" customHeight="1">
      <c r="A694" s="202"/>
      <c r="B694" s="878" t="s">
        <v>490</v>
      </c>
      <c r="C694" s="805"/>
      <c r="D694" s="210" t="s">
        <v>44</v>
      </c>
      <c r="E694" s="137">
        <f t="shared" si="443"/>
        <v>78000</v>
      </c>
      <c r="F694" s="137">
        <f t="shared" si="443"/>
        <v>38000</v>
      </c>
      <c r="G694" s="229">
        <f t="shared" si="443"/>
        <v>19700.400000000001</v>
      </c>
      <c r="H694" s="229">
        <f t="shared" si="443"/>
        <v>19700.400000000001</v>
      </c>
      <c r="I694" s="613">
        <f t="shared" ref="I694:I700" si="444">H694/F694</f>
        <v>0.51843157894736847</v>
      </c>
      <c r="J694" s="531" t="e">
        <f t="shared" si="422"/>
        <v>#DIV/0!</v>
      </c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</row>
    <row r="695" spans="1:108" s="2" customFormat="1" ht="15" customHeight="1">
      <c r="A695" s="202"/>
      <c r="B695" s="940" t="s">
        <v>489</v>
      </c>
      <c r="C695" s="807"/>
      <c r="D695" s="210"/>
      <c r="E695" s="201">
        <f t="shared" ref="E695:H702" si="445">E80</f>
        <v>457000</v>
      </c>
      <c r="F695" s="201">
        <f t="shared" si="445"/>
        <v>303000</v>
      </c>
      <c r="G695" s="437">
        <f t="shared" si="445"/>
        <v>406975.2</v>
      </c>
      <c r="H695" s="437">
        <f t="shared" si="445"/>
        <v>406975.2</v>
      </c>
      <c r="I695" s="613">
        <f t="shared" si="444"/>
        <v>1.3431524752475248</v>
      </c>
      <c r="J695" s="531">
        <f t="shared" si="422"/>
        <v>20.658220137662177</v>
      </c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</row>
    <row r="696" spans="1:108" s="2" customFormat="1" ht="15" customHeight="1">
      <c r="A696" s="202"/>
      <c r="B696" s="941" t="str">
        <f>B81</f>
        <v>Chirii CJA - Activitate proprie</v>
      </c>
      <c r="C696" s="941"/>
      <c r="D696" s="147" t="str">
        <f>D81</f>
        <v>X</v>
      </c>
      <c r="E696" s="137">
        <f t="shared" si="445"/>
        <v>347000</v>
      </c>
      <c r="F696" s="137">
        <f t="shared" si="445"/>
        <v>249000</v>
      </c>
      <c r="G696" s="229">
        <f t="shared" si="445"/>
        <v>368625.51</v>
      </c>
      <c r="H696" s="229">
        <f t="shared" si="445"/>
        <v>368625.51</v>
      </c>
      <c r="I696" s="613">
        <f t="shared" si="444"/>
        <v>1.4804237349397591</v>
      </c>
      <c r="J696" s="531">
        <f t="shared" si="422"/>
        <v>0.9057689756034274</v>
      </c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</row>
    <row r="697" spans="1:108" s="2" customFormat="1" ht="15" customHeight="1">
      <c r="A697" s="202"/>
      <c r="B697" s="873" t="s">
        <v>488</v>
      </c>
      <c r="C697" s="873"/>
      <c r="D697" s="210" t="s">
        <v>44</v>
      </c>
      <c r="E697" s="137">
        <f t="shared" si="445"/>
        <v>56000</v>
      </c>
      <c r="F697" s="137">
        <f t="shared" si="445"/>
        <v>28000</v>
      </c>
      <c r="G697" s="229">
        <f t="shared" si="445"/>
        <v>24105.83</v>
      </c>
      <c r="H697" s="229">
        <f t="shared" si="445"/>
        <v>24105.83</v>
      </c>
      <c r="I697" s="613">
        <f t="shared" si="444"/>
        <v>0.86092250000000003</v>
      </c>
      <c r="J697" s="531">
        <f t="shared" si="422"/>
        <v>6.5393819326285907E-2</v>
      </c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</row>
    <row r="698" spans="1:108" s="2" customFormat="1" ht="15" customHeight="1">
      <c r="A698" s="202"/>
      <c r="B698" s="878" t="s">
        <v>487</v>
      </c>
      <c r="C698" s="938"/>
      <c r="D698" s="210" t="s">
        <v>44</v>
      </c>
      <c r="E698" s="137">
        <f t="shared" si="445"/>
        <v>54000</v>
      </c>
      <c r="F698" s="137">
        <f t="shared" si="445"/>
        <v>26000</v>
      </c>
      <c r="G698" s="229">
        <f t="shared" si="445"/>
        <v>14243.86</v>
      </c>
      <c r="H698" s="229">
        <f t="shared" si="445"/>
        <v>14243.86</v>
      </c>
      <c r="I698" s="613">
        <f t="shared" si="444"/>
        <v>0.5478407692307693</v>
      </c>
      <c r="J698" s="531">
        <f t="shared" si="422"/>
        <v>0.59088859416995809</v>
      </c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</row>
    <row r="699" spans="1:108" s="2" customFormat="1" ht="15" customHeight="1">
      <c r="A699" s="918" t="s">
        <v>287</v>
      </c>
      <c r="B699" s="919"/>
      <c r="C699" s="920"/>
      <c r="D699" s="209" t="s">
        <v>286</v>
      </c>
      <c r="E699" s="201">
        <f t="shared" si="445"/>
        <v>226000</v>
      </c>
      <c r="F699" s="201">
        <f t="shared" si="445"/>
        <v>226000</v>
      </c>
      <c r="G699" s="437">
        <f t="shared" si="445"/>
        <v>188252</v>
      </c>
      <c r="H699" s="437">
        <f t="shared" si="445"/>
        <v>188252</v>
      </c>
      <c r="I699" s="613">
        <f t="shared" si="444"/>
        <v>0.83297345132743361</v>
      </c>
      <c r="J699" s="531">
        <f t="shared" si="422"/>
        <v>13.216361295323036</v>
      </c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</row>
    <row r="700" spans="1:108" s="2" customFormat="1" ht="15" customHeight="1">
      <c r="A700" s="200"/>
      <c r="B700" s="873" t="s">
        <v>486</v>
      </c>
      <c r="C700" s="873"/>
      <c r="D700" s="210" t="s">
        <v>44</v>
      </c>
      <c r="E700" s="137">
        <f t="shared" si="445"/>
        <v>226000</v>
      </c>
      <c r="F700" s="137">
        <f t="shared" si="445"/>
        <v>226000</v>
      </c>
      <c r="G700" s="229">
        <f t="shared" si="445"/>
        <v>188252</v>
      </c>
      <c r="H700" s="229">
        <f t="shared" si="445"/>
        <v>188252</v>
      </c>
      <c r="I700" s="613">
        <f t="shared" si="444"/>
        <v>0.83297345132743361</v>
      </c>
      <c r="J700" s="531">
        <f t="shared" si="422"/>
        <v>1</v>
      </c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</row>
    <row r="701" spans="1:108" s="2" customFormat="1" ht="15" customHeight="1">
      <c r="A701" s="200"/>
      <c r="B701" s="873" t="s">
        <v>485</v>
      </c>
      <c r="C701" s="873"/>
      <c r="D701" s="210" t="s">
        <v>44</v>
      </c>
      <c r="E701" s="137">
        <f t="shared" si="445"/>
        <v>0</v>
      </c>
      <c r="F701" s="137">
        <f t="shared" si="445"/>
        <v>0</v>
      </c>
      <c r="G701" s="229">
        <f t="shared" si="445"/>
        <v>0</v>
      </c>
      <c r="H701" s="229">
        <f t="shared" si="445"/>
        <v>0</v>
      </c>
      <c r="I701" s="613"/>
      <c r="J701" s="531">
        <f t="shared" si="422"/>
        <v>0</v>
      </c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</row>
    <row r="702" spans="1:108" s="2" customFormat="1" ht="15" customHeight="1">
      <c r="A702" s="200"/>
      <c r="B702" s="873" t="s">
        <v>484</v>
      </c>
      <c r="C702" s="873"/>
      <c r="D702" s="210" t="s">
        <v>44</v>
      </c>
      <c r="E702" s="137">
        <f t="shared" si="445"/>
        <v>0</v>
      </c>
      <c r="F702" s="137">
        <f t="shared" si="445"/>
        <v>0</v>
      </c>
      <c r="G702" s="229">
        <f t="shared" si="445"/>
        <v>0</v>
      </c>
      <c r="H702" s="229">
        <f t="shared" si="445"/>
        <v>0</v>
      </c>
      <c r="I702" s="613"/>
      <c r="J702" s="531" t="e">
        <f t="shared" si="422"/>
        <v>#DIV/0!</v>
      </c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</row>
    <row r="703" spans="1:108" s="2" customFormat="1" ht="15" customHeight="1">
      <c r="A703" s="918" t="s">
        <v>285</v>
      </c>
      <c r="B703" s="919"/>
      <c r="C703" s="920"/>
      <c r="D703" s="209" t="s">
        <v>284</v>
      </c>
      <c r="E703" s="201"/>
      <c r="F703" s="201"/>
      <c r="G703" s="437"/>
      <c r="H703" s="437"/>
      <c r="I703" s="613"/>
      <c r="J703" s="531" t="e">
        <f t="shared" si="422"/>
        <v>#DIV/0!</v>
      </c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</row>
    <row r="704" spans="1:108" s="2" customFormat="1" ht="15" customHeight="1">
      <c r="A704" s="936" t="s">
        <v>283</v>
      </c>
      <c r="B704" s="937"/>
      <c r="C704" s="937"/>
      <c r="D704" s="208" t="s">
        <v>282</v>
      </c>
      <c r="E704" s="196">
        <f t="shared" ref="E704:H704" si="446">E705</f>
        <v>0</v>
      </c>
      <c r="F704" s="196">
        <f t="shared" si="446"/>
        <v>0</v>
      </c>
      <c r="G704" s="438">
        <f t="shared" si="446"/>
        <v>0</v>
      </c>
      <c r="H704" s="438">
        <f t="shared" si="446"/>
        <v>0</v>
      </c>
      <c r="I704" s="613"/>
      <c r="J704" s="531" t="e">
        <f t="shared" si="422"/>
        <v>#DIV/0!</v>
      </c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</row>
    <row r="705" spans="1:108" s="2" customFormat="1" ht="15" customHeight="1">
      <c r="A705" s="200"/>
      <c r="B705" s="148" t="s">
        <v>281</v>
      </c>
      <c r="C705" s="149"/>
      <c r="D705" s="207" t="s">
        <v>280</v>
      </c>
      <c r="E705" s="137">
        <f>E90</f>
        <v>0</v>
      </c>
      <c r="F705" s="137">
        <f>F90</f>
        <v>0</v>
      </c>
      <c r="G705" s="229">
        <f>G90</f>
        <v>0</v>
      </c>
      <c r="H705" s="229">
        <f>H90</f>
        <v>0</v>
      </c>
      <c r="I705" s="613"/>
      <c r="J705" s="531" t="e">
        <f t="shared" si="422"/>
        <v>#DIV/0!</v>
      </c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</row>
    <row r="706" spans="1:108" s="2" customFormat="1" ht="15" customHeight="1">
      <c r="A706" s="918" t="s">
        <v>279</v>
      </c>
      <c r="B706" s="919"/>
      <c r="C706" s="920"/>
      <c r="D706" s="206" t="s">
        <v>278</v>
      </c>
      <c r="E706" s="187">
        <f t="shared" ref="E706" si="447">E707+E716+E720+E725+E729</f>
        <v>425000</v>
      </c>
      <c r="F706" s="187">
        <f t="shared" ref="F706:H706" si="448">F707+F716+F720+F725+F729</f>
        <v>237000</v>
      </c>
      <c r="G706" s="334">
        <f t="shared" si="448"/>
        <v>494740.35</v>
      </c>
      <c r="H706" s="334">
        <f t="shared" si="448"/>
        <v>494740.35</v>
      </c>
      <c r="I706" s="613">
        <f>H706/F706</f>
        <v>2.0875120253164554</v>
      </c>
      <c r="J706" s="531" t="e">
        <f t="shared" ref="J706:J769" si="449">(H706/H705)</f>
        <v>#DIV/0!</v>
      </c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</row>
    <row r="707" spans="1:108" s="2" customFormat="1" ht="15" customHeight="1">
      <c r="A707" s="918" t="s">
        <v>277</v>
      </c>
      <c r="B707" s="919"/>
      <c r="C707" s="920"/>
      <c r="D707" s="197" t="s">
        <v>276</v>
      </c>
      <c r="E707" s="187">
        <f t="shared" ref="E707" si="450">E714+E715+E711</f>
        <v>298000</v>
      </c>
      <c r="F707" s="187">
        <f t="shared" ref="F707:H707" si="451">F714+F715+F711</f>
        <v>154000</v>
      </c>
      <c r="G707" s="334">
        <f t="shared" si="451"/>
        <v>219516</v>
      </c>
      <c r="H707" s="334">
        <f t="shared" si="451"/>
        <v>219516</v>
      </c>
      <c r="I707" s="613">
        <f>H707/F707</f>
        <v>1.4254285714285715</v>
      </c>
      <c r="J707" s="531">
        <f t="shared" si="449"/>
        <v>0.44369940717388429</v>
      </c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</row>
    <row r="708" spans="1:108" s="2" customFormat="1" ht="15" customHeight="1">
      <c r="A708" s="202"/>
      <c r="B708" s="878" t="s">
        <v>275</v>
      </c>
      <c r="C708" s="805"/>
      <c r="D708" s="576" t="s">
        <v>274</v>
      </c>
      <c r="E708" s="137"/>
      <c r="F708" s="137"/>
      <c r="G708" s="229"/>
      <c r="H708" s="229"/>
      <c r="I708" s="613"/>
      <c r="J708" s="531">
        <f t="shared" si="449"/>
        <v>0</v>
      </c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</row>
    <row r="709" spans="1:108" s="2" customFormat="1" ht="27" customHeight="1">
      <c r="A709" s="202"/>
      <c r="B709" s="933" t="s">
        <v>273</v>
      </c>
      <c r="C709" s="933"/>
      <c r="D709" s="576" t="s">
        <v>272</v>
      </c>
      <c r="E709" s="137"/>
      <c r="F709" s="137"/>
      <c r="G709" s="229"/>
      <c r="H709" s="229"/>
      <c r="I709" s="613"/>
      <c r="J709" s="531" t="e">
        <f t="shared" si="449"/>
        <v>#DIV/0!</v>
      </c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</row>
    <row r="710" spans="1:108" s="2" customFormat="1" ht="18" customHeight="1">
      <c r="A710" s="202"/>
      <c r="B710" s="933" t="s">
        <v>271</v>
      </c>
      <c r="C710" s="933"/>
      <c r="D710" s="576" t="s">
        <v>270</v>
      </c>
      <c r="E710" s="137"/>
      <c r="F710" s="137"/>
      <c r="G710" s="229"/>
      <c r="H710" s="229"/>
      <c r="I710" s="613"/>
      <c r="J710" s="531" t="e">
        <f t="shared" si="449"/>
        <v>#DIV/0!</v>
      </c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</row>
    <row r="711" spans="1:108" s="2" customFormat="1" ht="15" customHeight="1">
      <c r="A711" s="204"/>
      <c r="B711" s="878" t="s">
        <v>483</v>
      </c>
      <c r="C711" s="805"/>
      <c r="D711" s="576" t="s">
        <v>482</v>
      </c>
      <c r="E711" s="137">
        <f>E93</f>
        <v>298000</v>
      </c>
      <c r="F711" s="137">
        <f>F93</f>
        <v>154000</v>
      </c>
      <c r="G711" s="229">
        <f>G93</f>
        <v>163037</v>
      </c>
      <c r="H711" s="229">
        <f>H93</f>
        <v>163037</v>
      </c>
      <c r="I711" s="613">
        <f>H711/F711</f>
        <v>1.0586818181818183</v>
      </c>
      <c r="J711" s="531" t="e">
        <f t="shared" si="449"/>
        <v>#DIV/0!</v>
      </c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</row>
    <row r="712" spans="1:108" s="2" customFormat="1" ht="15" customHeight="1">
      <c r="A712" s="205"/>
      <c r="B712" s="878" t="s">
        <v>267</v>
      </c>
      <c r="C712" s="805"/>
      <c r="D712" s="576" t="s">
        <v>266</v>
      </c>
      <c r="E712" s="137"/>
      <c r="F712" s="137"/>
      <c r="G712" s="229"/>
      <c r="H712" s="229"/>
      <c r="I712" s="613"/>
      <c r="J712" s="531">
        <f t="shared" si="449"/>
        <v>0</v>
      </c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</row>
    <row r="713" spans="1:108" s="2" customFormat="1" ht="25.9" customHeight="1">
      <c r="A713" s="205"/>
      <c r="B713" s="933" t="s">
        <v>265</v>
      </c>
      <c r="C713" s="933"/>
      <c r="D713" s="576" t="s">
        <v>264</v>
      </c>
      <c r="E713" s="137"/>
      <c r="F713" s="137"/>
      <c r="G713" s="229"/>
      <c r="H713" s="229"/>
      <c r="I713" s="613"/>
      <c r="J713" s="531" t="e">
        <f t="shared" si="449"/>
        <v>#DIV/0!</v>
      </c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</row>
    <row r="714" spans="1:108" s="2" customFormat="1" ht="23.45" customHeight="1">
      <c r="A714" s="205"/>
      <c r="B714" s="933" t="s">
        <v>265</v>
      </c>
      <c r="C714" s="933"/>
      <c r="D714" s="576" t="s">
        <v>264</v>
      </c>
      <c r="E714" s="137">
        <f t="shared" ref="E714:H715" si="452">E98</f>
        <v>0</v>
      </c>
      <c r="F714" s="137">
        <f t="shared" si="452"/>
        <v>0</v>
      </c>
      <c r="G714" s="229">
        <f t="shared" si="452"/>
        <v>56479</v>
      </c>
      <c r="H714" s="229">
        <f t="shared" si="452"/>
        <v>56479</v>
      </c>
      <c r="I714" s="613"/>
      <c r="J714" s="531" t="e">
        <f t="shared" si="449"/>
        <v>#DIV/0!</v>
      </c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</row>
    <row r="715" spans="1:108" s="2" customFormat="1" ht="15" customHeight="1">
      <c r="A715" s="204"/>
      <c r="B715" s="878" t="s">
        <v>263</v>
      </c>
      <c r="C715" s="805"/>
      <c r="D715" s="576" t="s">
        <v>262</v>
      </c>
      <c r="E715" s="137">
        <f t="shared" si="452"/>
        <v>0</v>
      </c>
      <c r="F715" s="137">
        <f t="shared" si="452"/>
        <v>0</v>
      </c>
      <c r="G715" s="229">
        <f t="shared" si="452"/>
        <v>0</v>
      </c>
      <c r="H715" s="229">
        <f t="shared" si="452"/>
        <v>0</v>
      </c>
      <c r="I715" s="613"/>
      <c r="J715" s="531">
        <f t="shared" si="449"/>
        <v>0</v>
      </c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</row>
    <row r="716" spans="1:108" s="2" customFormat="1" ht="15" customHeight="1">
      <c r="A716" s="923" t="s">
        <v>261</v>
      </c>
      <c r="B716" s="924"/>
      <c r="C716" s="925"/>
      <c r="D716" s="197" t="s">
        <v>260</v>
      </c>
      <c r="E716" s="201"/>
      <c r="F716" s="201"/>
      <c r="G716" s="437"/>
      <c r="H716" s="437"/>
      <c r="I716" s="613"/>
      <c r="J716" s="531" t="e">
        <f t="shared" si="449"/>
        <v>#DIV/0!</v>
      </c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</row>
    <row r="717" spans="1:108" s="2" customFormat="1" ht="15" customHeight="1">
      <c r="A717" s="202"/>
      <c r="B717" s="934" t="s">
        <v>259</v>
      </c>
      <c r="C717" s="935"/>
      <c r="D717" s="576" t="s">
        <v>258</v>
      </c>
      <c r="E717" s="137"/>
      <c r="F717" s="137"/>
      <c r="G717" s="229"/>
      <c r="H717" s="229"/>
      <c r="I717" s="613"/>
      <c r="J717" s="531" t="e">
        <f t="shared" si="449"/>
        <v>#DIV/0!</v>
      </c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</row>
    <row r="718" spans="1:108" s="2" customFormat="1" ht="15" customHeight="1">
      <c r="A718" s="202"/>
      <c r="B718" s="565"/>
      <c r="C718" s="566"/>
      <c r="D718" s="576"/>
      <c r="E718" s="137"/>
      <c r="F718" s="137"/>
      <c r="G718" s="229"/>
      <c r="H718" s="229"/>
      <c r="I718" s="613"/>
      <c r="J718" s="531" t="e">
        <f t="shared" si="449"/>
        <v>#DIV/0!</v>
      </c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</row>
    <row r="719" spans="1:108" s="2" customFormat="1" ht="15" customHeight="1">
      <c r="A719" s="204"/>
      <c r="B719" s="878" t="s">
        <v>257</v>
      </c>
      <c r="C719" s="805"/>
      <c r="D719" s="576" t="s">
        <v>256</v>
      </c>
      <c r="E719" s="137"/>
      <c r="F719" s="137"/>
      <c r="G719" s="229"/>
      <c r="H719" s="229"/>
      <c r="I719" s="613"/>
      <c r="J719" s="531" t="e">
        <f t="shared" si="449"/>
        <v>#DIV/0!</v>
      </c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</row>
    <row r="720" spans="1:108" s="2" customFormat="1" ht="15" customHeight="1">
      <c r="A720" s="923" t="s">
        <v>255</v>
      </c>
      <c r="B720" s="924"/>
      <c r="C720" s="925"/>
      <c r="D720" s="197" t="s">
        <v>254</v>
      </c>
      <c r="E720" s="187">
        <f t="shared" ref="E720" si="453">E721+E722+E723+E724</f>
        <v>50000</v>
      </c>
      <c r="F720" s="187">
        <f t="shared" ref="F720:H720" si="454">F721+F722+F723+F724</f>
        <v>34000</v>
      </c>
      <c r="G720" s="334">
        <f t="shared" si="454"/>
        <v>140388.96</v>
      </c>
      <c r="H720" s="334">
        <f t="shared" si="454"/>
        <v>140388.96</v>
      </c>
      <c r="I720" s="613"/>
      <c r="J720" s="531" t="e">
        <f t="shared" si="449"/>
        <v>#DIV/0!</v>
      </c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</row>
    <row r="721" spans="1:108" s="2" customFormat="1" ht="15" customHeight="1">
      <c r="A721" s="202"/>
      <c r="B721" s="912" t="s">
        <v>253</v>
      </c>
      <c r="C721" s="912"/>
      <c r="D721" s="576" t="s">
        <v>252</v>
      </c>
      <c r="E721" s="137"/>
      <c r="F721" s="137"/>
      <c r="G721" s="229"/>
      <c r="H721" s="229"/>
      <c r="I721" s="613"/>
      <c r="J721" s="531">
        <f t="shared" si="449"/>
        <v>0</v>
      </c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</row>
    <row r="722" spans="1:108" s="2" customFormat="1" ht="15" customHeight="1">
      <c r="A722" s="202"/>
      <c r="B722" s="873" t="s">
        <v>251</v>
      </c>
      <c r="C722" s="873"/>
      <c r="D722" s="576" t="s">
        <v>250</v>
      </c>
      <c r="E722" s="137"/>
      <c r="F722" s="137"/>
      <c r="G722" s="229"/>
      <c r="H722" s="229"/>
      <c r="I722" s="613"/>
      <c r="J722" s="531" t="e">
        <f t="shared" si="449"/>
        <v>#DIV/0!</v>
      </c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</row>
    <row r="723" spans="1:108" s="2" customFormat="1" ht="15" customHeight="1">
      <c r="A723" s="203"/>
      <c r="B723" s="878" t="s">
        <v>249</v>
      </c>
      <c r="C723" s="805"/>
      <c r="D723" s="576" t="s">
        <v>248</v>
      </c>
      <c r="E723" s="137"/>
      <c r="F723" s="137"/>
      <c r="G723" s="229"/>
      <c r="H723" s="229"/>
      <c r="I723" s="613"/>
      <c r="J723" s="531" t="e">
        <f t="shared" si="449"/>
        <v>#DIV/0!</v>
      </c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</row>
    <row r="724" spans="1:108" s="2" customFormat="1" ht="15" customHeight="1">
      <c r="A724" s="202"/>
      <c r="B724" s="878" t="s">
        <v>247</v>
      </c>
      <c r="C724" s="805"/>
      <c r="D724" s="576" t="s">
        <v>246</v>
      </c>
      <c r="E724" s="137">
        <f>E107</f>
        <v>50000</v>
      </c>
      <c r="F724" s="137">
        <f>F107</f>
        <v>34000</v>
      </c>
      <c r="G724" s="229">
        <f>G107</f>
        <v>140388.96</v>
      </c>
      <c r="H724" s="229">
        <f>H107</f>
        <v>140388.96</v>
      </c>
      <c r="I724" s="613">
        <f>H724/F724</f>
        <v>4.1290870588235293</v>
      </c>
      <c r="J724" s="531" t="e">
        <f t="shared" si="449"/>
        <v>#DIV/0!</v>
      </c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</row>
    <row r="725" spans="1:108" s="2" customFormat="1" ht="15" customHeight="1">
      <c r="A725" s="916" t="s">
        <v>245</v>
      </c>
      <c r="B725" s="917"/>
      <c r="C725" s="917"/>
      <c r="D725" s="197" t="s">
        <v>244</v>
      </c>
      <c r="E725" s="187">
        <f t="shared" ref="E725" si="455">E726+E727+E728</f>
        <v>77000</v>
      </c>
      <c r="F725" s="187">
        <f t="shared" ref="F725:H725" si="456">F726+F727+F728</f>
        <v>49000</v>
      </c>
      <c r="G725" s="334">
        <f t="shared" si="456"/>
        <v>134835.39000000001</v>
      </c>
      <c r="H725" s="334">
        <f t="shared" si="456"/>
        <v>134835.39000000001</v>
      </c>
      <c r="I725" s="613">
        <f>H725/F725</f>
        <v>2.7517426530612248</v>
      </c>
      <c r="J725" s="531">
        <f t="shared" si="449"/>
        <v>0.96044154754049049</v>
      </c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</row>
    <row r="726" spans="1:108" s="2" customFormat="1" ht="15" customHeight="1">
      <c r="A726" s="202"/>
      <c r="B726" s="933" t="s">
        <v>243</v>
      </c>
      <c r="C726" s="933"/>
      <c r="D726" s="576" t="s">
        <v>242</v>
      </c>
      <c r="E726" s="137"/>
      <c r="F726" s="137"/>
      <c r="G726" s="229"/>
      <c r="H726" s="229"/>
      <c r="I726" s="613"/>
      <c r="J726" s="531">
        <f t="shared" si="449"/>
        <v>0</v>
      </c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</row>
    <row r="727" spans="1:108" s="2" customFormat="1" ht="15" customHeight="1">
      <c r="A727" s="202"/>
      <c r="B727" s="921" t="s">
        <v>481</v>
      </c>
      <c r="C727" s="922"/>
      <c r="D727" s="576" t="s">
        <v>480</v>
      </c>
      <c r="E727" s="137">
        <f>E110</f>
        <v>0</v>
      </c>
      <c r="F727" s="137">
        <f>F110</f>
        <v>0</v>
      </c>
      <c r="G727" s="229">
        <f>G110</f>
        <v>0</v>
      </c>
      <c r="H727" s="229">
        <f>H110</f>
        <v>0</v>
      </c>
      <c r="I727" s="613"/>
      <c r="J727" s="531" t="e">
        <f t="shared" si="449"/>
        <v>#DIV/0!</v>
      </c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</row>
    <row r="728" spans="1:108" s="2" customFormat="1" ht="15" customHeight="1">
      <c r="A728" s="202"/>
      <c r="B728" s="873" t="s">
        <v>239</v>
      </c>
      <c r="C728" s="873"/>
      <c r="D728" s="576" t="s">
        <v>238</v>
      </c>
      <c r="E728" s="137">
        <f>E114</f>
        <v>77000</v>
      </c>
      <c r="F728" s="137">
        <f>F114</f>
        <v>49000</v>
      </c>
      <c r="G728" s="229">
        <f>G114</f>
        <v>134835.39000000001</v>
      </c>
      <c r="H728" s="229">
        <f>H114</f>
        <v>134835.39000000001</v>
      </c>
      <c r="I728" s="613">
        <f>H728/F728</f>
        <v>2.7517426530612248</v>
      </c>
      <c r="J728" s="531" t="e">
        <f t="shared" si="449"/>
        <v>#DIV/0!</v>
      </c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</row>
    <row r="729" spans="1:108" s="2" customFormat="1" ht="15" customHeight="1">
      <c r="A729" s="923" t="s">
        <v>237</v>
      </c>
      <c r="B729" s="924"/>
      <c r="C729" s="925"/>
      <c r="D729" s="197" t="s">
        <v>236</v>
      </c>
      <c r="E729" s="187">
        <f t="shared" ref="E729" si="457">E730+E731+E732</f>
        <v>0</v>
      </c>
      <c r="F729" s="187">
        <f t="shared" ref="F729:H729" si="458">F730+F731+F732</f>
        <v>0</v>
      </c>
      <c r="G729" s="334">
        <f t="shared" si="458"/>
        <v>0</v>
      </c>
      <c r="H729" s="334">
        <f t="shared" si="458"/>
        <v>0</v>
      </c>
      <c r="I729" s="613"/>
      <c r="J729" s="531">
        <f t="shared" si="449"/>
        <v>0</v>
      </c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</row>
    <row r="730" spans="1:108" s="2" customFormat="1" ht="15" customHeight="1">
      <c r="A730" s="202"/>
      <c r="B730" s="878" t="s">
        <v>235</v>
      </c>
      <c r="C730" s="805"/>
      <c r="D730" s="576" t="s">
        <v>234</v>
      </c>
      <c r="E730" s="137">
        <f t="shared" ref="E730:H731" si="459">E117</f>
        <v>0</v>
      </c>
      <c r="F730" s="137">
        <f t="shared" si="459"/>
        <v>0</v>
      </c>
      <c r="G730" s="229">
        <f t="shared" si="459"/>
        <v>0</v>
      </c>
      <c r="H730" s="229">
        <f t="shared" si="459"/>
        <v>0</v>
      </c>
      <c r="I730" s="613"/>
      <c r="J730" s="531" t="e">
        <f t="shared" si="449"/>
        <v>#DIV/0!</v>
      </c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</row>
    <row r="731" spans="1:108" s="2" customFormat="1" ht="15" customHeight="1">
      <c r="A731" s="202"/>
      <c r="B731" s="933" t="s">
        <v>479</v>
      </c>
      <c r="C731" s="933"/>
      <c r="D731" s="137" t="s">
        <v>478</v>
      </c>
      <c r="E731" s="137">
        <f t="shared" si="459"/>
        <v>0</v>
      </c>
      <c r="F731" s="137">
        <f t="shared" si="459"/>
        <v>0</v>
      </c>
      <c r="G731" s="229">
        <f t="shared" si="459"/>
        <v>0</v>
      </c>
      <c r="H731" s="229">
        <f t="shared" si="459"/>
        <v>0</v>
      </c>
      <c r="I731" s="613"/>
      <c r="J731" s="531" t="e">
        <f t="shared" si="449"/>
        <v>#DIV/0!</v>
      </c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</row>
    <row r="732" spans="1:108" s="2" customFormat="1" ht="15" customHeight="1">
      <c r="A732" s="202"/>
      <c r="B732" s="878" t="s">
        <v>231</v>
      </c>
      <c r="C732" s="805"/>
      <c r="D732" s="137" t="s">
        <v>230</v>
      </c>
      <c r="E732" s="137"/>
      <c r="F732" s="137"/>
      <c r="G732" s="229"/>
      <c r="H732" s="229"/>
      <c r="I732" s="613"/>
      <c r="J732" s="531" t="e">
        <f t="shared" si="449"/>
        <v>#DIV/0!</v>
      </c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</row>
    <row r="733" spans="1:108" s="2" customFormat="1" ht="15" customHeight="1">
      <c r="A733" s="923" t="s">
        <v>229</v>
      </c>
      <c r="B733" s="924"/>
      <c r="C733" s="925"/>
      <c r="D733" s="188" t="s">
        <v>228</v>
      </c>
      <c r="E733" s="137">
        <f t="shared" ref="E733:H733" si="460">E734</f>
        <v>0</v>
      </c>
      <c r="F733" s="137">
        <f t="shared" si="460"/>
        <v>0</v>
      </c>
      <c r="G733" s="229">
        <f t="shared" si="460"/>
        <v>0</v>
      </c>
      <c r="H733" s="229">
        <f t="shared" si="460"/>
        <v>0</v>
      </c>
      <c r="I733" s="613"/>
      <c r="J733" s="531" t="e">
        <f t="shared" si="449"/>
        <v>#DIV/0!</v>
      </c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</row>
    <row r="734" spans="1:108" s="2" customFormat="1" ht="15" customHeight="1">
      <c r="A734" s="923" t="s">
        <v>227</v>
      </c>
      <c r="B734" s="924"/>
      <c r="C734" s="925"/>
      <c r="D734" s="137" t="s">
        <v>226</v>
      </c>
      <c r="E734" s="137">
        <f t="shared" ref="E734" si="461">E735+E736+E737+E738</f>
        <v>0</v>
      </c>
      <c r="F734" s="137">
        <f t="shared" ref="F734:H734" si="462">F735+F736+F737+F738</f>
        <v>0</v>
      </c>
      <c r="G734" s="229">
        <f t="shared" si="462"/>
        <v>0</v>
      </c>
      <c r="H734" s="229">
        <f t="shared" si="462"/>
        <v>0</v>
      </c>
      <c r="I734" s="613"/>
      <c r="J734" s="531" t="e">
        <f t="shared" si="449"/>
        <v>#DIV/0!</v>
      </c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</row>
    <row r="735" spans="1:108" s="2" customFormat="1" ht="15" customHeight="1">
      <c r="A735" s="202"/>
      <c r="B735" s="148" t="s">
        <v>225</v>
      </c>
      <c r="C735" s="149"/>
      <c r="D735" s="137" t="s">
        <v>224</v>
      </c>
      <c r="E735" s="137"/>
      <c r="F735" s="137"/>
      <c r="G735" s="229"/>
      <c r="H735" s="229"/>
      <c r="I735" s="613"/>
      <c r="J735" s="531" t="e">
        <f t="shared" si="449"/>
        <v>#DIV/0!</v>
      </c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</row>
    <row r="736" spans="1:108" s="2" customFormat="1" ht="15" customHeight="1">
      <c r="A736" s="202"/>
      <c r="B736" s="921" t="s">
        <v>222</v>
      </c>
      <c r="C736" s="922"/>
      <c r="D736" s="137" t="s">
        <v>221</v>
      </c>
      <c r="E736" s="137"/>
      <c r="F736" s="137"/>
      <c r="G736" s="229"/>
      <c r="H736" s="229"/>
      <c r="I736" s="613"/>
      <c r="J736" s="531" t="e">
        <f t="shared" si="449"/>
        <v>#DIV/0!</v>
      </c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</row>
    <row r="737" spans="1:108" s="2" customFormat="1" ht="14.45" customHeight="1">
      <c r="A737" s="202"/>
      <c r="B737" s="148" t="s">
        <v>220</v>
      </c>
      <c r="C737" s="149"/>
      <c r="D737" s="137" t="s">
        <v>219</v>
      </c>
      <c r="E737" s="137"/>
      <c r="F737" s="137"/>
      <c r="G737" s="229"/>
      <c r="H737" s="229"/>
      <c r="I737" s="613"/>
      <c r="J737" s="531" t="e">
        <f t="shared" si="449"/>
        <v>#DIV/0!</v>
      </c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</row>
    <row r="738" spans="1:108" s="2" customFormat="1" ht="15" customHeight="1">
      <c r="A738" s="202"/>
      <c r="B738" s="921" t="s">
        <v>218</v>
      </c>
      <c r="C738" s="922"/>
      <c r="D738" s="137" t="s">
        <v>217</v>
      </c>
      <c r="E738" s="137"/>
      <c r="F738" s="137"/>
      <c r="G738" s="229"/>
      <c r="H738" s="229"/>
      <c r="I738" s="613"/>
      <c r="J738" s="531" t="e">
        <f t="shared" si="449"/>
        <v>#DIV/0!</v>
      </c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</row>
    <row r="739" spans="1:108" s="2" customFormat="1" ht="15" customHeight="1">
      <c r="A739" s="923" t="s">
        <v>216</v>
      </c>
      <c r="B739" s="924"/>
      <c r="C739" s="925"/>
      <c r="D739" s="188" t="s">
        <v>215</v>
      </c>
      <c r="E739" s="201">
        <f t="shared" ref="E739" si="463">E740+E744</f>
        <v>0</v>
      </c>
      <c r="F739" s="201">
        <f t="shared" ref="F739:H739" si="464">F740+F744</f>
        <v>0</v>
      </c>
      <c r="G739" s="437">
        <f t="shared" si="464"/>
        <v>0</v>
      </c>
      <c r="H739" s="437">
        <f t="shared" si="464"/>
        <v>0</v>
      </c>
      <c r="I739" s="613"/>
      <c r="J739" s="531" t="e">
        <f t="shared" si="449"/>
        <v>#DIV/0!</v>
      </c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</row>
    <row r="740" spans="1:108" s="2" customFormat="1" ht="15" customHeight="1">
      <c r="A740" s="200" t="s">
        <v>214</v>
      </c>
      <c r="B740" s="149"/>
      <c r="C740" s="148"/>
      <c r="D740" s="201" t="s">
        <v>213</v>
      </c>
      <c r="E740" s="137">
        <f t="shared" ref="E740" si="465">E741+E742+E743</f>
        <v>0</v>
      </c>
      <c r="F740" s="137">
        <f t="shared" ref="F740:H740" si="466">F741+F742+F743</f>
        <v>0</v>
      </c>
      <c r="G740" s="229">
        <f t="shared" si="466"/>
        <v>0</v>
      </c>
      <c r="H740" s="229">
        <f t="shared" si="466"/>
        <v>0</v>
      </c>
      <c r="I740" s="613"/>
      <c r="J740" s="531" t="e">
        <f t="shared" si="449"/>
        <v>#DIV/0!</v>
      </c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</row>
    <row r="741" spans="1:108" s="2" customFormat="1" ht="15" customHeight="1">
      <c r="A741" s="913" t="s">
        <v>212</v>
      </c>
      <c r="B741" s="914"/>
      <c r="C741" s="915"/>
      <c r="D741" s="137" t="s">
        <v>211</v>
      </c>
      <c r="E741" s="137"/>
      <c r="F741" s="137"/>
      <c r="G741" s="229"/>
      <c r="H741" s="229"/>
      <c r="I741" s="613"/>
      <c r="J741" s="531" t="e">
        <f t="shared" si="449"/>
        <v>#DIV/0!</v>
      </c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</row>
    <row r="742" spans="1:108" s="2" customFormat="1" ht="20.25" customHeight="1">
      <c r="A742" s="926" t="s">
        <v>210</v>
      </c>
      <c r="B742" s="927"/>
      <c r="C742" s="922"/>
      <c r="D742" s="137" t="s">
        <v>209</v>
      </c>
      <c r="E742" s="137"/>
      <c r="F742" s="137"/>
      <c r="G742" s="229"/>
      <c r="H742" s="229"/>
      <c r="I742" s="613"/>
      <c r="J742" s="531" t="e">
        <f t="shared" si="449"/>
        <v>#DIV/0!</v>
      </c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</row>
    <row r="743" spans="1:108" s="2" customFormat="1" ht="15" customHeight="1">
      <c r="A743" s="573" t="s">
        <v>208</v>
      </c>
      <c r="B743" s="544"/>
      <c r="C743" s="544"/>
      <c r="D743" s="137" t="s">
        <v>207</v>
      </c>
      <c r="E743" s="137"/>
      <c r="F743" s="137"/>
      <c r="G743" s="229"/>
      <c r="H743" s="229"/>
      <c r="I743" s="613"/>
      <c r="J743" s="531" t="e">
        <f t="shared" si="449"/>
        <v>#DIV/0!</v>
      </c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</row>
    <row r="744" spans="1:108" s="2" customFormat="1" ht="15" customHeight="1">
      <c r="A744" s="923" t="s">
        <v>204</v>
      </c>
      <c r="B744" s="924"/>
      <c r="C744" s="925"/>
      <c r="D744" s="201" t="s">
        <v>477</v>
      </c>
      <c r="E744" s="137">
        <f t="shared" ref="E744:H744" si="467">E745</f>
        <v>0</v>
      </c>
      <c r="F744" s="137">
        <f t="shared" si="467"/>
        <v>0</v>
      </c>
      <c r="G744" s="229">
        <f t="shared" si="467"/>
        <v>0</v>
      </c>
      <c r="H744" s="229">
        <f t="shared" si="467"/>
        <v>0</v>
      </c>
      <c r="I744" s="613"/>
      <c r="J744" s="531" t="e">
        <f t="shared" si="449"/>
        <v>#DIV/0!</v>
      </c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</row>
    <row r="745" spans="1:108" s="2" customFormat="1" ht="15" customHeight="1">
      <c r="A745" s="913" t="s">
        <v>476</v>
      </c>
      <c r="B745" s="914"/>
      <c r="C745" s="915"/>
      <c r="D745" s="544" t="s">
        <v>475</v>
      </c>
      <c r="E745" s="137">
        <f>E135</f>
        <v>0</v>
      </c>
      <c r="F745" s="137">
        <f>F135</f>
        <v>0</v>
      </c>
      <c r="G745" s="229">
        <f>G135</f>
        <v>0</v>
      </c>
      <c r="H745" s="229">
        <f>H135</f>
        <v>0</v>
      </c>
      <c r="I745" s="613"/>
      <c r="J745" s="531" t="e">
        <f t="shared" si="449"/>
        <v>#DIV/0!</v>
      </c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</row>
    <row r="746" spans="1:108" s="2" customFormat="1" ht="15" customHeight="1">
      <c r="A746" s="916" t="s">
        <v>201</v>
      </c>
      <c r="B746" s="917"/>
      <c r="C746" s="917"/>
      <c r="D746" s="188" t="s">
        <v>200</v>
      </c>
      <c r="E746" s="137">
        <f t="shared" ref="E746:H746" si="468">E747</f>
        <v>3771000</v>
      </c>
      <c r="F746" s="137">
        <f t="shared" si="468"/>
        <v>2924000</v>
      </c>
      <c r="G746" s="229">
        <f t="shared" si="468"/>
        <v>507066</v>
      </c>
      <c r="H746" s="229">
        <f t="shared" si="468"/>
        <v>507066</v>
      </c>
      <c r="I746" s="613">
        <f>H746/F746</f>
        <v>0.17341518467852257</v>
      </c>
      <c r="J746" s="531" t="e">
        <f t="shared" si="449"/>
        <v>#DIV/0!</v>
      </c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</row>
    <row r="747" spans="1:108" s="2" customFormat="1" ht="15" customHeight="1">
      <c r="A747" s="916" t="s">
        <v>199</v>
      </c>
      <c r="B747" s="917"/>
      <c r="C747" s="917"/>
      <c r="D747" s="188" t="s">
        <v>198</v>
      </c>
      <c r="E747" s="137">
        <f t="shared" ref="E747" si="469">E748+E756</f>
        <v>3771000</v>
      </c>
      <c r="F747" s="137">
        <f t="shared" ref="F747:H747" si="470">F748+F756</f>
        <v>2924000</v>
      </c>
      <c r="G747" s="229">
        <f t="shared" si="470"/>
        <v>507066</v>
      </c>
      <c r="H747" s="229">
        <f t="shared" si="470"/>
        <v>507066</v>
      </c>
      <c r="I747" s="613">
        <f>H747/F747</f>
        <v>0.17341518467852257</v>
      </c>
      <c r="J747" s="531">
        <f t="shared" si="449"/>
        <v>1</v>
      </c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</row>
    <row r="748" spans="1:108" s="2" customFormat="1" ht="15" customHeight="1">
      <c r="A748" s="916" t="s">
        <v>197</v>
      </c>
      <c r="B748" s="917"/>
      <c r="C748" s="917"/>
      <c r="D748" s="137" t="s">
        <v>196</v>
      </c>
      <c r="E748" s="137">
        <f>E749+E750+E751+E752+E753+E754+E755</f>
        <v>3771000</v>
      </c>
      <c r="F748" s="137">
        <f t="shared" ref="F748:H748" si="471">F749+F750+F751+F752+F753+F754+F755</f>
        <v>2924000</v>
      </c>
      <c r="G748" s="229">
        <f t="shared" si="471"/>
        <v>507066</v>
      </c>
      <c r="H748" s="229">
        <f t="shared" si="471"/>
        <v>507066</v>
      </c>
      <c r="I748" s="613">
        <f>H748/F748</f>
        <v>0.17341518467852257</v>
      </c>
      <c r="J748" s="531">
        <f t="shared" si="449"/>
        <v>1</v>
      </c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</row>
    <row r="749" spans="1:108" s="2" customFormat="1" ht="15" customHeight="1">
      <c r="A749" s="202"/>
      <c r="B749" s="544" t="s">
        <v>163</v>
      </c>
      <c r="C749" s="576"/>
      <c r="D749" s="137" t="s">
        <v>162</v>
      </c>
      <c r="E749" s="137">
        <f>E154</f>
        <v>1730000</v>
      </c>
      <c r="F749" s="137">
        <f>F154</f>
        <v>1150000</v>
      </c>
      <c r="G749" s="229">
        <f>G154</f>
        <v>197066</v>
      </c>
      <c r="H749" s="229">
        <f>H154</f>
        <v>197066</v>
      </c>
      <c r="I749" s="613">
        <f>H749/F749</f>
        <v>0.17136173913043479</v>
      </c>
      <c r="J749" s="531">
        <f t="shared" si="449"/>
        <v>0.38863974314980693</v>
      </c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</row>
    <row r="750" spans="1:108" s="2" customFormat="1" ht="22.5" customHeight="1">
      <c r="A750" s="202"/>
      <c r="B750" s="929" t="s">
        <v>691</v>
      </c>
      <c r="C750" s="930"/>
      <c r="D750" s="137" t="s">
        <v>690</v>
      </c>
      <c r="E750" s="137">
        <f>E159</f>
        <v>630000</v>
      </c>
      <c r="F750" s="137">
        <f>F159</f>
        <v>363000</v>
      </c>
      <c r="G750" s="229">
        <f>G159</f>
        <v>310000</v>
      </c>
      <c r="H750" s="229">
        <f>G159</f>
        <v>310000</v>
      </c>
      <c r="I750" s="613">
        <f t="shared" ref="I750:I754" si="472">H750/F750</f>
        <v>0.85399449035812669</v>
      </c>
      <c r="J750" s="531">
        <f t="shared" si="449"/>
        <v>1.5730770401794323</v>
      </c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</row>
    <row r="751" spans="1:108" s="2" customFormat="1" ht="15" customHeight="1">
      <c r="A751" s="202"/>
      <c r="B751" s="544" t="s">
        <v>474</v>
      </c>
      <c r="C751" s="576"/>
      <c r="D751" s="137" t="s">
        <v>473</v>
      </c>
      <c r="E751" s="137">
        <f>E155</f>
        <v>0</v>
      </c>
      <c r="F751" s="137">
        <f>F155</f>
        <v>0</v>
      </c>
      <c r="G751" s="229">
        <f>G155</f>
        <v>0</v>
      </c>
      <c r="H751" s="229">
        <f>H155</f>
        <v>0</v>
      </c>
      <c r="I751" s="613"/>
      <c r="J751" s="531">
        <f t="shared" si="449"/>
        <v>0</v>
      </c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</row>
    <row r="752" spans="1:108" s="2" customFormat="1" ht="15" customHeight="1">
      <c r="A752" s="202"/>
      <c r="B752" s="544" t="s">
        <v>159</v>
      </c>
      <c r="C752" s="576"/>
      <c r="D752" s="137" t="s">
        <v>158</v>
      </c>
      <c r="E752" s="137">
        <f t="shared" ref="E752" si="473">E157</f>
        <v>0</v>
      </c>
      <c r="F752" s="137">
        <f t="shared" ref="F752:H753" si="474">F157</f>
        <v>0</v>
      </c>
      <c r="G752" s="229">
        <f t="shared" si="474"/>
        <v>0</v>
      </c>
      <c r="H752" s="229">
        <f t="shared" si="474"/>
        <v>0</v>
      </c>
      <c r="I752" s="613"/>
      <c r="J752" s="531" t="e">
        <f t="shared" si="449"/>
        <v>#DIV/0!</v>
      </c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</row>
    <row r="753" spans="1:108" s="2" customFormat="1" ht="15" customHeight="1">
      <c r="A753" s="202"/>
      <c r="B753" s="544" t="s">
        <v>157</v>
      </c>
      <c r="C753" s="576"/>
      <c r="D753" s="137" t="s">
        <v>156</v>
      </c>
      <c r="E753" s="137">
        <f t="shared" ref="E753" si="475">E158</f>
        <v>0</v>
      </c>
      <c r="F753" s="137">
        <f t="shared" si="474"/>
        <v>0</v>
      </c>
      <c r="G753" s="229">
        <f t="shared" si="474"/>
        <v>0</v>
      </c>
      <c r="H753" s="229">
        <f t="shared" si="474"/>
        <v>0</v>
      </c>
      <c r="I753" s="613"/>
      <c r="J753" s="531" t="e">
        <f t="shared" si="449"/>
        <v>#DIV/0!</v>
      </c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</row>
    <row r="754" spans="1:108" s="2" customFormat="1" ht="37.5" customHeight="1">
      <c r="A754" s="500"/>
      <c r="B754" s="931" t="s">
        <v>720</v>
      </c>
      <c r="C754" s="932"/>
      <c r="D754" s="394" t="s">
        <v>721</v>
      </c>
      <c r="E754" s="137">
        <f>E165</f>
        <v>1411000</v>
      </c>
      <c r="F754" s="137">
        <f t="shared" ref="F754:H754" si="476">F165</f>
        <v>1411000</v>
      </c>
      <c r="G754" s="137">
        <f t="shared" si="476"/>
        <v>0</v>
      </c>
      <c r="H754" s="137">
        <f t="shared" si="476"/>
        <v>0</v>
      </c>
      <c r="I754" s="613">
        <f t="shared" si="472"/>
        <v>0</v>
      </c>
      <c r="J754" s="531" t="e">
        <f t="shared" si="449"/>
        <v>#DIV/0!</v>
      </c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</row>
    <row r="755" spans="1:108" s="2" customFormat="1" ht="15" customHeight="1">
      <c r="A755" s="500"/>
      <c r="B755" s="928" t="s">
        <v>686</v>
      </c>
      <c r="C755" s="869"/>
      <c r="D755" s="394" t="s">
        <v>685</v>
      </c>
      <c r="E755" s="137">
        <f>E164</f>
        <v>0</v>
      </c>
      <c r="F755" s="137">
        <f>F164</f>
        <v>0</v>
      </c>
      <c r="G755" s="137">
        <f>G164</f>
        <v>0</v>
      </c>
      <c r="H755" s="137">
        <f>H164</f>
        <v>0</v>
      </c>
      <c r="I755" s="613"/>
      <c r="J755" s="531" t="e">
        <f t="shared" si="449"/>
        <v>#DIV/0!</v>
      </c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</row>
    <row r="756" spans="1:108" s="2" customFormat="1" ht="15" customHeight="1">
      <c r="A756" s="918" t="s">
        <v>155</v>
      </c>
      <c r="B756" s="919"/>
      <c r="C756" s="920"/>
      <c r="D756" s="197" t="s">
        <v>154</v>
      </c>
      <c r="E756" s="201">
        <f t="shared" ref="E756" si="477">E757+E758+E759</f>
        <v>0</v>
      </c>
      <c r="F756" s="201">
        <f t="shared" ref="F756:H756" si="478">F757+F758+F759</f>
        <v>0</v>
      </c>
      <c r="G756" s="437">
        <f t="shared" si="478"/>
        <v>0</v>
      </c>
      <c r="H756" s="437">
        <f t="shared" si="478"/>
        <v>0</v>
      </c>
      <c r="I756" s="613"/>
      <c r="J756" s="531" t="e">
        <f t="shared" si="449"/>
        <v>#DIV/0!</v>
      </c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</row>
    <row r="757" spans="1:108" s="2" customFormat="1" ht="25.5" hidden="1" customHeight="1">
      <c r="A757" s="200"/>
      <c r="B757" s="912" t="s">
        <v>153</v>
      </c>
      <c r="C757" s="912"/>
      <c r="D757" s="576" t="s">
        <v>152</v>
      </c>
      <c r="E757" s="137"/>
      <c r="F757" s="137"/>
      <c r="G757" s="229"/>
      <c r="H757" s="229"/>
      <c r="I757" s="613" t="e">
        <f t="shared" ref="I757:I785" si="479">H757/F757</f>
        <v>#DIV/0!</v>
      </c>
      <c r="J757" s="531" t="e">
        <f t="shared" si="449"/>
        <v>#DIV/0!</v>
      </c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</row>
    <row r="758" spans="1:108" s="2" customFormat="1" ht="24" hidden="1" customHeight="1">
      <c r="A758" s="199"/>
      <c r="B758" s="912" t="s">
        <v>151</v>
      </c>
      <c r="C758" s="912"/>
      <c r="D758" s="576" t="s">
        <v>150</v>
      </c>
      <c r="E758" s="137"/>
      <c r="F758" s="137"/>
      <c r="G758" s="229"/>
      <c r="H758" s="229"/>
      <c r="I758" s="613" t="e">
        <f t="shared" si="479"/>
        <v>#DIV/0!</v>
      </c>
      <c r="J758" s="531" t="e">
        <f t="shared" si="449"/>
        <v>#DIV/0!</v>
      </c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</row>
    <row r="759" spans="1:108" s="2" customFormat="1" ht="15.75" hidden="1" customHeight="1">
      <c r="A759" s="166"/>
      <c r="B759" s="912" t="s">
        <v>472</v>
      </c>
      <c r="C759" s="912"/>
      <c r="D759" s="576" t="s">
        <v>471</v>
      </c>
      <c r="E759" s="137"/>
      <c r="F759" s="137"/>
      <c r="G759" s="229"/>
      <c r="H759" s="229"/>
      <c r="I759" s="613" t="e">
        <f t="shared" si="479"/>
        <v>#DIV/0!</v>
      </c>
      <c r="J759" s="531" t="e">
        <f t="shared" si="449"/>
        <v>#DIV/0!</v>
      </c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</row>
    <row r="760" spans="1:108" s="2" customFormat="1" ht="15" hidden="1" customHeight="1">
      <c r="A760" s="910" t="s">
        <v>470</v>
      </c>
      <c r="B760" s="911"/>
      <c r="C760" s="911"/>
      <c r="D760" s="197" t="s">
        <v>143</v>
      </c>
      <c r="E760" s="198"/>
      <c r="F760" s="198"/>
      <c r="G760" s="463"/>
      <c r="H760" s="463"/>
      <c r="I760" s="613" t="e">
        <f t="shared" si="479"/>
        <v>#DIV/0!</v>
      </c>
      <c r="J760" s="531" t="e">
        <f t="shared" si="449"/>
        <v>#DIV/0!</v>
      </c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</row>
    <row r="761" spans="1:108" s="2" customFormat="1" ht="15" hidden="1" customHeight="1">
      <c r="A761" s="910" t="s">
        <v>469</v>
      </c>
      <c r="B761" s="911"/>
      <c r="C761" s="911"/>
      <c r="D761" s="197" t="s">
        <v>141</v>
      </c>
      <c r="E761" s="198"/>
      <c r="F761" s="198"/>
      <c r="G761" s="463"/>
      <c r="H761" s="463"/>
      <c r="I761" s="613" t="e">
        <f t="shared" si="479"/>
        <v>#DIV/0!</v>
      </c>
      <c r="J761" s="531" t="e">
        <f t="shared" si="449"/>
        <v>#DIV/0!</v>
      </c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</row>
    <row r="762" spans="1:108" s="2" customFormat="1" ht="0.75" customHeight="1">
      <c r="A762" s="862" t="s">
        <v>126</v>
      </c>
      <c r="B762" s="863"/>
      <c r="C762" s="863"/>
      <c r="D762" s="576" t="s">
        <v>140</v>
      </c>
      <c r="E762" s="137"/>
      <c r="F762" s="137"/>
      <c r="G762" s="229"/>
      <c r="H762" s="229"/>
      <c r="I762" s="613" t="e">
        <f t="shared" si="479"/>
        <v>#DIV/0!</v>
      </c>
      <c r="J762" s="531" t="e">
        <f t="shared" si="449"/>
        <v>#DIV/0!</v>
      </c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</row>
    <row r="763" spans="1:108" s="2" customFormat="1" ht="15" hidden="1" customHeight="1">
      <c r="A763" s="567"/>
      <c r="B763" s="541"/>
      <c r="C763" s="541"/>
      <c r="D763" s="576"/>
      <c r="E763" s="137"/>
      <c r="F763" s="137"/>
      <c r="G763" s="229"/>
      <c r="H763" s="229"/>
      <c r="I763" s="613" t="e">
        <f t="shared" si="479"/>
        <v>#DIV/0!</v>
      </c>
      <c r="J763" s="531" t="e">
        <f t="shared" si="449"/>
        <v>#DIV/0!</v>
      </c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</row>
    <row r="764" spans="1:108" s="2" customFormat="1" ht="15" hidden="1" customHeight="1">
      <c r="A764" s="567"/>
      <c r="B764" s="541"/>
      <c r="C764" s="541"/>
      <c r="D764" s="576"/>
      <c r="E764" s="137"/>
      <c r="F764" s="137"/>
      <c r="G764" s="229"/>
      <c r="H764" s="229"/>
      <c r="I764" s="613" t="e">
        <f t="shared" si="479"/>
        <v>#DIV/0!</v>
      </c>
      <c r="J764" s="531" t="e">
        <f t="shared" si="449"/>
        <v>#DIV/0!</v>
      </c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</row>
    <row r="765" spans="1:108" s="2" customFormat="1" ht="15" hidden="1" customHeight="1">
      <c r="A765" s="567"/>
      <c r="B765" s="541"/>
      <c r="C765" s="541"/>
      <c r="D765" s="576"/>
      <c r="E765" s="137"/>
      <c r="F765" s="137"/>
      <c r="G765" s="229"/>
      <c r="H765" s="229"/>
      <c r="I765" s="613" t="e">
        <f t="shared" si="479"/>
        <v>#DIV/0!</v>
      </c>
      <c r="J765" s="531" t="e">
        <f t="shared" si="449"/>
        <v>#DIV/0!</v>
      </c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</row>
    <row r="766" spans="1:108" s="2" customFormat="1" ht="15" hidden="1" customHeight="1">
      <c r="A766" s="567"/>
      <c r="B766" s="541"/>
      <c r="C766" s="541"/>
      <c r="D766" s="576"/>
      <c r="E766" s="137"/>
      <c r="F766" s="137"/>
      <c r="G766" s="229"/>
      <c r="H766" s="229"/>
      <c r="I766" s="613" t="e">
        <f t="shared" si="479"/>
        <v>#DIV/0!</v>
      </c>
      <c r="J766" s="531" t="e">
        <f t="shared" si="449"/>
        <v>#DIV/0!</v>
      </c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</row>
    <row r="767" spans="1:108" s="2" customFormat="1" ht="15" hidden="1" customHeight="1">
      <c r="A767" s="862" t="s">
        <v>124</v>
      </c>
      <c r="B767" s="863"/>
      <c r="C767" s="863"/>
      <c r="D767" s="576" t="s">
        <v>139</v>
      </c>
      <c r="E767" s="137"/>
      <c r="F767" s="137"/>
      <c r="G767" s="229"/>
      <c r="H767" s="229"/>
      <c r="I767" s="613" t="e">
        <f t="shared" si="479"/>
        <v>#DIV/0!</v>
      </c>
      <c r="J767" s="531" t="e">
        <f t="shared" si="449"/>
        <v>#DIV/0!</v>
      </c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</row>
    <row r="768" spans="1:108" s="2" customFormat="1" ht="15" hidden="1" customHeight="1">
      <c r="A768" s="862" t="s">
        <v>122</v>
      </c>
      <c r="B768" s="863"/>
      <c r="C768" s="863"/>
      <c r="D768" s="576" t="s">
        <v>138</v>
      </c>
      <c r="E768" s="137"/>
      <c r="F768" s="137"/>
      <c r="G768" s="229"/>
      <c r="H768" s="229"/>
      <c r="I768" s="613" t="e">
        <f t="shared" si="479"/>
        <v>#DIV/0!</v>
      </c>
      <c r="J768" s="531" t="e">
        <f t="shared" si="449"/>
        <v>#DIV/0!</v>
      </c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</row>
    <row r="769" spans="1:108" s="2" customFormat="1" ht="15" hidden="1" customHeight="1">
      <c r="A769" s="910" t="s">
        <v>468</v>
      </c>
      <c r="B769" s="911"/>
      <c r="C769" s="911"/>
      <c r="D769" s="197" t="s">
        <v>136</v>
      </c>
      <c r="E769" s="196"/>
      <c r="F769" s="196"/>
      <c r="G769" s="438"/>
      <c r="H769" s="438"/>
      <c r="I769" s="613" t="e">
        <f t="shared" si="479"/>
        <v>#DIV/0!</v>
      </c>
      <c r="J769" s="531" t="e">
        <f t="shared" si="449"/>
        <v>#DIV/0!</v>
      </c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</row>
    <row r="770" spans="1:108" s="2" customFormat="1" ht="1.5" hidden="1" customHeight="1">
      <c r="A770" s="862" t="s">
        <v>126</v>
      </c>
      <c r="B770" s="863"/>
      <c r="C770" s="863"/>
      <c r="D770" s="576" t="s">
        <v>135</v>
      </c>
      <c r="E770" s="137"/>
      <c r="F770" s="137"/>
      <c r="G770" s="229"/>
      <c r="H770" s="229"/>
      <c r="I770" s="613" t="e">
        <f t="shared" si="479"/>
        <v>#DIV/0!</v>
      </c>
      <c r="J770" s="531" t="e">
        <f t="shared" ref="J770:J789" si="480">(H770/H769)</f>
        <v>#DIV/0!</v>
      </c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</row>
    <row r="771" spans="1:108" s="2" customFormat="1" ht="15" hidden="1" customHeight="1">
      <c r="A771" s="567"/>
      <c r="B771" s="541"/>
      <c r="C771" s="541"/>
      <c r="D771" s="576"/>
      <c r="E771" s="137"/>
      <c r="F771" s="137"/>
      <c r="G771" s="229"/>
      <c r="H771" s="229"/>
      <c r="I771" s="613" t="e">
        <f t="shared" si="479"/>
        <v>#DIV/0!</v>
      </c>
      <c r="J771" s="531" t="e">
        <f t="shared" si="480"/>
        <v>#DIV/0!</v>
      </c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</row>
    <row r="772" spans="1:108" s="2" customFormat="1" ht="15" hidden="1" customHeight="1">
      <c r="A772" s="567"/>
      <c r="B772" s="541"/>
      <c r="C772" s="541"/>
      <c r="D772" s="576"/>
      <c r="E772" s="137"/>
      <c r="F772" s="137"/>
      <c r="G772" s="229"/>
      <c r="H772" s="229"/>
      <c r="I772" s="613" t="e">
        <f t="shared" si="479"/>
        <v>#DIV/0!</v>
      </c>
      <c r="J772" s="531" t="e">
        <f t="shared" si="480"/>
        <v>#DIV/0!</v>
      </c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</row>
    <row r="773" spans="1:108" s="2" customFormat="1" ht="15" hidden="1" customHeight="1">
      <c r="A773" s="567"/>
      <c r="B773" s="541"/>
      <c r="C773" s="541"/>
      <c r="D773" s="576"/>
      <c r="E773" s="137"/>
      <c r="F773" s="137"/>
      <c r="G773" s="229"/>
      <c r="H773" s="229"/>
      <c r="I773" s="613" t="e">
        <f t="shared" si="479"/>
        <v>#DIV/0!</v>
      </c>
      <c r="J773" s="531" t="e">
        <f t="shared" si="480"/>
        <v>#DIV/0!</v>
      </c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</row>
    <row r="774" spans="1:108" s="2" customFormat="1" ht="15" hidden="1" customHeight="1">
      <c r="A774" s="567"/>
      <c r="B774" s="541"/>
      <c r="C774" s="541"/>
      <c r="D774" s="576"/>
      <c r="E774" s="137"/>
      <c r="F774" s="137"/>
      <c r="G774" s="229"/>
      <c r="H774" s="229"/>
      <c r="I774" s="613" t="e">
        <f t="shared" si="479"/>
        <v>#DIV/0!</v>
      </c>
      <c r="J774" s="531" t="e">
        <f t="shared" si="480"/>
        <v>#DIV/0!</v>
      </c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</row>
    <row r="775" spans="1:108" s="2" customFormat="1" ht="15" hidden="1" customHeight="1">
      <c r="A775" s="862" t="s">
        <v>124</v>
      </c>
      <c r="B775" s="863"/>
      <c r="C775" s="863"/>
      <c r="D775" s="576" t="s">
        <v>133</v>
      </c>
      <c r="E775" s="137"/>
      <c r="F775" s="137"/>
      <c r="G775" s="229"/>
      <c r="H775" s="229"/>
      <c r="I775" s="613" t="e">
        <f t="shared" si="479"/>
        <v>#DIV/0!</v>
      </c>
      <c r="J775" s="531" t="e">
        <f t="shared" si="480"/>
        <v>#DIV/0!</v>
      </c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</row>
    <row r="776" spans="1:108" s="2" customFormat="1" ht="15" hidden="1" customHeight="1">
      <c r="A776" s="862" t="s">
        <v>122</v>
      </c>
      <c r="B776" s="863"/>
      <c r="C776" s="863"/>
      <c r="D776" s="576" t="s">
        <v>132</v>
      </c>
      <c r="E776" s="137"/>
      <c r="F776" s="137"/>
      <c r="G776" s="229"/>
      <c r="H776" s="229"/>
      <c r="I776" s="613" t="e">
        <f t="shared" si="479"/>
        <v>#DIV/0!</v>
      </c>
      <c r="J776" s="531" t="e">
        <f t="shared" si="480"/>
        <v>#DIV/0!</v>
      </c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</row>
    <row r="777" spans="1:108" ht="15" hidden="1" customHeight="1">
      <c r="A777" s="910" t="s">
        <v>128</v>
      </c>
      <c r="B777" s="911"/>
      <c r="C777" s="911"/>
      <c r="D777" s="197" t="s">
        <v>127</v>
      </c>
      <c r="E777" s="196"/>
      <c r="F777" s="196"/>
      <c r="G777" s="438"/>
      <c r="H777" s="438"/>
      <c r="I777" s="613" t="e">
        <f t="shared" si="479"/>
        <v>#DIV/0!</v>
      </c>
      <c r="J777" s="531" t="e">
        <f t="shared" si="480"/>
        <v>#DIV/0!</v>
      </c>
    </row>
    <row r="778" spans="1:108" ht="0.75" customHeight="1">
      <c r="A778" s="862" t="s">
        <v>126</v>
      </c>
      <c r="B778" s="863"/>
      <c r="C778" s="863"/>
      <c r="D778" s="576" t="s">
        <v>125</v>
      </c>
      <c r="E778" s="137"/>
      <c r="F778" s="137"/>
      <c r="G778" s="229"/>
      <c r="H778" s="229"/>
      <c r="I778" s="613" t="e">
        <f t="shared" si="479"/>
        <v>#DIV/0!</v>
      </c>
      <c r="J778" s="531" t="e">
        <f t="shared" si="480"/>
        <v>#DIV/0!</v>
      </c>
    </row>
    <row r="779" spans="1:108" ht="15" hidden="1" customHeight="1">
      <c r="A779" s="862" t="s">
        <v>124</v>
      </c>
      <c r="B779" s="863"/>
      <c r="C779" s="863"/>
      <c r="D779" s="576" t="s">
        <v>123</v>
      </c>
      <c r="E779" s="137"/>
      <c r="F779" s="137"/>
      <c r="G779" s="229"/>
      <c r="H779" s="229"/>
      <c r="I779" s="613" t="e">
        <f t="shared" si="479"/>
        <v>#DIV/0!</v>
      </c>
      <c r="J779" s="531" t="e">
        <f t="shared" si="480"/>
        <v>#DIV/0!</v>
      </c>
    </row>
    <row r="780" spans="1:108" ht="15" hidden="1" customHeight="1">
      <c r="A780" s="862" t="s">
        <v>122</v>
      </c>
      <c r="B780" s="863"/>
      <c r="C780" s="863"/>
      <c r="D780" s="576" t="s">
        <v>121</v>
      </c>
      <c r="E780" s="137"/>
      <c r="F780" s="137"/>
      <c r="G780" s="229"/>
      <c r="H780" s="229"/>
      <c r="I780" s="613" t="e">
        <f t="shared" si="479"/>
        <v>#DIV/0!</v>
      </c>
      <c r="J780" s="531" t="e">
        <f t="shared" si="480"/>
        <v>#DIV/0!</v>
      </c>
    </row>
    <row r="781" spans="1:108" ht="15" hidden="1" customHeight="1">
      <c r="A781" s="862"/>
      <c r="B781" s="863"/>
      <c r="C781" s="863"/>
      <c r="D781" s="576"/>
      <c r="E781" s="137"/>
      <c r="F781" s="137"/>
      <c r="G781" s="229"/>
      <c r="H781" s="229"/>
      <c r="I781" s="613" t="e">
        <f t="shared" si="479"/>
        <v>#DIV/0!</v>
      </c>
      <c r="J781" s="531" t="e">
        <f t="shared" si="480"/>
        <v>#DIV/0!</v>
      </c>
      <c r="M781" s="3">
        <f>E783+E784+E785+E786+E787+E788+E789+E790+E791+E793+E794</f>
        <v>205283000</v>
      </c>
    </row>
    <row r="782" spans="1:108" s="195" customFormat="1" ht="20.45" customHeight="1">
      <c r="A782" s="742" t="s">
        <v>467</v>
      </c>
      <c r="B782" s="743"/>
      <c r="C782" s="665"/>
      <c r="D782" s="24" t="s">
        <v>111</v>
      </c>
      <c r="E782" s="23">
        <f>E797+E806+E825+E828+E830+E832+E887+E895+E916+E965+E968+E972+E975</f>
        <v>205283000</v>
      </c>
      <c r="F782" s="23">
        <f>F797+F806+F825+F828+F830+F832+F887+F895+F916+F965+F968+F972+F975</f>
        <v>105221000</v>
      </c>
      <c r="G782" s="101">
        <f>G797+G806+G825+G828+G830+G832+G887+G895+G916+G965+G968+G972+G975</f>
        <v>77620856</v>
      </c>
      <c r="H782" s="101">
        <f>H797+H806+H825+H828+H830+H832+H887+H895+H916+H965+H968+H972+H975</f>
        <v>70878616.609999999</v>
      </c>
      <c r="I782" s="613">
        <f t="shared" si="479"/>
        <v>0.67361664125982457</v>
      </c>
      <c r="J782" s="531" t="e">
        <f t="shared" si="480"/>
        <v>#DIV/0!</v>
      </c>
      <c r="K782" s="3">
        <f t="shared" ref="K782:M782" si="481">F783+F784+F785+F786+F787+F788+F789+F790+F791+F793+F794</f>
        <v>105221000</v>
      </c>
      <c r="L782" s="3">
        <f t="shared" si="481"/>
        <v>77620856</v>
      </c>
      <c r="M782" s="3">
        <f t="shared" si="481"/>
        <v>70878616.609999999</v>
      </c>
      <c r="N782" s="3">
        <f t="shared" ref="N782" si="482">F783+F784+F785+F786+F787+F788+F789+F790+F791+F793+F794</f>
        <v>105221000</v>
      </c>
      <c r="O782" s="3"/>
      <c r="P782" s="100"/>
      <c r="Q782" s="3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108" ht="15" customHeight="1">
      <c r="A783" s="898" t="s">
        <v>466</v>
      </c>
      <c r="B783" s="899"/>
      <c r="C783" s="900"/>
      <c r="D783" s="162">
        <v>10</v>
      </c>
      <c r="E783" s="194">
        <f t="shared" ref="E783" si="483">E798+E834+E843+E903+E917</f>
        <v>70264000</v>
      </c>
      <c r="F783" s="194">
        <f t="shared" ref="F783:H783" si="484">F798+F834+F843+F903+F917</f>
        <v>35848000</v>
      </c>
      <c r="G783" s="464">
        <f t="shared" si="484"/>
        <v>33768513</v>
      </c>
      <c r="H783" s="464">
        <f t="shared" si="484"/>
        <v>31260120.09</v>
      </c>
      <c r="I783" s="613">
        <f t="shared" si="479"/>
        <v>0.87201852516179423</v>
      </c>
      <c r="J783" s="531">
        <f t="shared" si="480"/>
        <v>0.44103739019067745</v>
      </c>
    </row>
    <row r="784" spans="1:108" ht="15" customHeight="1">
      <c r="A784" s="898" t="s">
        <v>465</v>
      </c>
      <c r="B784" s="899"/>
      <c r="C784" s="900"/>
      <c r="D784" s="140">
        <v>20</v>
      </c>
      <c r="E784" s="194">
        <f>E799+E808+E826+E829+E831+E839+E844+E897+E918+E976+E969</f>
        <v>62396000</v>
      </c>
      <c r="F784" s="194">
        <f>F799+F808+F826+F829+F831+F839+F844+F897+F918+F976+F969</f>
        <v>31749000</v>
      </c>
      <c r="G784" s="464">
        <f>G799+G808+G826+G829+G831+G839+G844+G897+G918+G976+G969</f>
        <v>16518998</v>
      </c>
      <c r="H784" s="464">
        <f>H799+H808+H826+H829+H831+H839+H844+H897+H918+H976+H969</f>
        <v>13661962.09</v>
      </c>
      <c r="I784" s="613">
        <f t="shared" si="479"/>
        <v>0.43031157170304574</v>
      </c>
      <c r="J784" s="531">
        <f t="shared" si="480"/>
        <v>0.43704125418156703</v>
      </c>
      <c r="M784" s="3"/>
    </row>
    <row r="785" spans="1:108" ht="15" customHeight="1">
      <c r="A785" s="906" t="s">
        <v>464</v>
      </c>
      <c r="B785" s="907"/>
      <c r="C785" s="907"/>
      <c r="D785" s="140">
        <v>30</v>
      </c>
      <c r="E785" s="194">
        <f t="shared" ref="E785" si="485">E827+E834</f>
        <v>1744000</v>
      </c>
      <c r="F785" s="194">
        <f t="shared" ref="F785:H785" si="486">F827+F834</f>
        <v>903000</v>
      </c>
      <c r="G785" s="464">
        <f t="shared" si="486"/>
        <v>706081</v>
      </c>
      <c r="H785" s="464">
        <f t="shared" si="486"/>
        <v>700972.71</v>
      </c>
      <c r="I785" s="613">
        <f t="shared" si="479"/>
        <v>0.7762709966777408</v>
      </c>
      <c r="J785" s="531">
        <f t="shared" si="480"/>
        <v>5.1308348345738969E-2</v>
      </c>
      <c r="L785" s="100"/>
    </row>
    <row r="786" spans="1:108" ht="15" customHeight="1">
      <c r="A786" s="906" t="s">
        <v>10</v>
      </c>
      <c r="B786" s="907"/>
      <c r="C786" s="907"/>
      <c r="D786" s="162" t="s">
        <v>9</v>
      </c>
      <c r="E786" s="194">
        <f t="shared" ref="E786" si="487">E977</f>
        <v>0</v>
      </c>
      <c r="F786" s="194">
        <f t="shared" ref="F786:H786" si="488">F977</f>
        <v>0</v>
      </c>
      <c r="G786" s="464">
        <f t="shared" si="488"/>
        <v>0</v>
      </c>
      <c r="H786" s="464">
        <f t="shared" si="488"/>
        <v>0</v>
      </c>
      <c r="I786" s="613"/>
      <c r="J786" s="531">
        <f t="shared" si="480"/>
        <v>0</v>
      </c>
      <c r="O786" s="100"/>
    </row>
    <row r="787" spans="1:108" ht="15" customHeight="1">
      <c r="A787" s="893" t="s">
        <v>97</v>
      </c>
      <c r="B787" s="894"/>
      <c r="C787" s="895"/>
      <c r="D787" s="162">
        <v>50</v>
      </c>
      <c r="E787" s="194">
        <f t="shared" ref="E787" si="489">E809</f>
        <v>1000000</v>
      </c>
      <c r="F787" s="194">
        <f t="shared" ref="F787:H787" si="490">F809</f>
        <v>0</v>
      </c>
      <c r="G787" s="464">
        <f t="shared" si="490"/>
        <v>0</v>
      </c>
      <c r="H787" s="464">
        <f t="shared" si="490"/>
        <v>0</v>
      </c>
      <c r="I787" s="613"/>
      <c r="J787" s="531" t="e">
        <f t="shared" si="480"/>
        <v>#DIV/0!</v>
      </c>
    </row>
    <row r="788" spans="1:108" ht="15" customHeight="1">
      <c r="A788" s="908" t="s">
        <v>4</v>
      </c>
      <c r="B788" s="909"/>
      <c r="C788" s="909"/>
      <c r="D788" s="162" t="s">
        <v>49</v>
      </c>
      <c r="E788" s="194">
        <f>E810+E845+E888+E898+E919+E974+E1006</f>
        <v>29855000</v>
      </c>
      <c r="F788" s="194">
        <f>F810+F845+F888+F898+F919+F974+F1006</f>
        <v>14272000</v>
      </c>
      <c r="G788" s="464">
        <f>G810+G845+G888+G898+G919+G974+G1006</f>
        <v>10418818</v>
      </c>
      <c r="H788" s="464">
        <f>H810+H845+H888+H898+H919+H974+H1007</f>
        <v>10193455.66</v>
      </c>
      <c r="I788" s="613">
        <f t="shared" ref="I788:I793" si="491">H788/F788</f>
        <v>0.71422755465246635</v>
      </c>
      <c r="J788" s="531" t="e">
        <f t="shared" si="480"/>
        <v>#DIV/0!</v>
      </c>
    </row>
    <row r="789" spans="1:108" ht="15" customHeight="1">
      <c r="A789" s="893" t="s">
        <v>109</v>
      </c>
      <c r="B789" s="894"/>
      <c r="C789" s="895"/>
      <c r="D789" s="162">
        <v>55</v>
      </c>
      <c r="E789" s="194">
        <f t="shared" ref="E789" si="492">E846+E967+E971+E961</f>
        <v>9628000</v>
      </c>
      <c r="F789" s="194">
        <f t="shared" ref="F789:H789" si="493">F846+F967+F971+F961</f>
        <v>4182000</v>
      </c>
      <c r="G789" s="464">
        <f t="shared" si="493"/>
        <v>3925919</v>
      </c>
      <c r="H789" s="464">
        <f t="shared" si="493"/>
        <v>3630153.7</v>
      </c>
      <c r="I789" s="613">
        <f t="shared" si="491"/>
        <v>0.86804249163079872</v>
      </c>
      <c r="J789" s="531">
        <f t="shared" si="480"/>
        <v>0.3561259126524714</v>
      </c>
    </row>
    <row r="790" spans="1:108" ht="15" customHeight="1">
      <c r="A790" s="893" t="s">
        <v>463</v>
      </c>
      <c r="B790" s="894"/>
      <c r="C790" s="895"/>
      <c r="D790" s="162">
        <v>57</v>
      </c>
      <c r="E790" s="194">
        <f t="shared" ref="E790" si="494">E840+E847+E931</f>
        <v>7988000</v>
      </c>
      <c r="F790" s="194">
        <f t="shared" ref="F790:H790" si="495">F840+F847+F931</f>
        <v>7509000</v>
      </c>
      <c r="G790" s="464">
        <f t="shared" si="495"/>
        <v>1846210</v>
      </c>
      <c r="H790" s="464">
        <f t="shared" si="495"/>
        <v>1801576.01</v>
      </c>
      <c r="I790" s="613">
        <f t="shared" si="491"/>
        <v>0.23992222799307497</v>
      </c>
    </row>
    <row r="791" spans="1:108" ht="15" customHeight="1">
      <c r="A791" s="893" t="s">
        <v>413</v>
      </c>
      <c r="B791" s="894"/>
      <c r="C791" s="895"/>
      <c r="D791" s="162">
        <v>59</v>
      </c>
      <c r="E791" s="194">
        <f t="shared" ref="E791" si="496">E899+E801+E848+E934</f>
        <v>13012000</v>
      </c>
      <c r="F791" s="194">
        <f t="shared" ref="F791:G791" si="497">F899+F801+F848+F934</f>
        <v>6062000</v>
      </c>
      <c r="G791" s="464">
        <f t="shared" si="497"/>
        <v>5874241</v>
      </c>
      <c r="H791" s="464">
        <f>H899+H801+H848+H934</f>
        <v>5777717.8399999999</v>
      </c>
      <c r="I791" s="613">
        <f t="shared" si="491"/>
        <v>0.95310422962718577</v>
      </c>
    </row>
    <row r="792" spans="1:108" ht="15" hidden="1" customHeight="1">
      <c r="A792" s="896" t="s">
        <v>462</v>
      </c>
      <c r="B792" s="897"/>
      <c r="C792" s="897"/>
      <c r="D792" s="140">
        <v>79</v>
      </c>
      <c r="E792" s="194"/>
      <c r="F792" s="194"/>
      <c r="G792" s="464"/>
      <c r="H792" s="464"/>
      <c r="I792" s="613" t="e">
        <f t="shared" si="491"/>
        <v>#DIV/0!</v>
      </c>
    </row>
    <row r="793" spans="1:108" s="2" customFormat="1" ht="15" customHeight="1">
      <c r="A793" s="898" t="s">
        <v>103</v>
      </c>
      <c r="B793" s="899"/>
      <c r="C793" s="900"/>
      <c r="D793" s="140">
        <v>81</v>
      </c>
      <c r="E793" s="194">
        <f>E802++E988</f>
        <v>9396000</v>
      </c>
      <c r="F793" s="194">
        <f>F802++F988</f>
        <v>4696000</v>
      </c>
      <c r="G793" s="464">
        <f>G802++G988</f>
        <v>4562076</v>
      </c>
      <c r="H793" s="464">
        <f>H802++H988</f>
        <v>4543045.33</v>
      </c>
      <c r="I793" s="613">
        <f t="shared" si="491"/>
        <v>0.96742873296422494</v>
      </c>
      <c r="J793" s="53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</row>
    <row r="794" spans="1:108" s="2" customFormat="1" ht="24.75" customHeight="1">
      <c r="A794" s="901" t="s">
        <v>390</v>
      </c>
      <c r="B794" s="902"/>
      <c r="C794" s="903"/>
      <c r="D794" s="140" t="s">
        <v>389</v>
      </c>
      <c r="E794" s="194">
        <f>E805+E841+E849+E901+E924+E989</f>
        <v>0</v>
      </c>
      <c r="F794" s="194">
        <f>F805+F841+F849+F901+F924+F989</f>
        <v>0</v>
      </c>
      <c r="G794" s="464">
        <f>G805+G841+G849+G901+G924+G989</f>
        <v>0</v>
      </c>
      <c r="H794" s="464">
        <f>H805+H841+H849+H901+H924+H989</f>
        <v>-690386.82</v>
      </c>
      <c r="I794" s="613"/>
      <c r="J794" s="53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</row>
    <row r="795" spans="1:108" s="2" customFormat="1" ht="12.75" hidden="1" customHeight="1">
      <c r="A795" s="157"/>
      <c r="B795" s="904"/>
      <c r="C795" s="905"/>
      <c r="D795" s="162"/>
      <c r="E795" s="139"/>
      <c r="F795" s="139"/>
      <c r="G795" s="304"/>
      <c r="H795" s="304"/>
      <c r="I795" s="613" t="e">
        <f>H795/F795</f>
        <v>#DIV/0!</v>
      </c>
      <c r="J795" s="53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</row>
    <row r="796" spans="1:108" s="2" customFormat="1" ht="15" hidden="1" customHeight="1">
      <c r="A796" s="891"/>
      <c r="B796" s="892"/>
      <c r="C796" s="892"/>
      <c r="D796" s="564"/>
      <c r="E796" s="137"/>
      <c r="F796" s="137"/>
      <c r="G796" s="229"/>
      <c r="H796" s="229"/>
      <c r="I796" s="613" t="e">
        <f>H796/F796</f>
        <v>#DIV/0!</v>
      </c>
      <c r="J796" s="53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</row>
    <row r="797" spans="1:108" s="2" customFormat="1" ht="16.899999999999999" customHeight="1">
      <c r="A797" s="845" t="s">
        <v>461</v>
      </c>
      <c r="B797" s="846"/>
      <c r="C797" s="847"/>
      <c r="D797" s="159" t="s">
        <v>71</v>
      </c>
      <c r="E797" s="158">
        <f t="shared" ref="E797" si="498">E798+E799+E800+E801+E802+E805</f>
        <v>39951000</v>
      </c>
      <c r="F797" s="158">
        <f t="shared" ref="F797:H797" si="499">F798+F799+F800+F801+F802+F805</f>
        <v>22367000</v>
      </c>
      <c r="G797" s="446">
        <f t="shared" si="499"/>
        <v>19476542</v>
      </c>
      <c r="H797" s="446">
        <f t="shared" si="499"/>
        <v>16837627.32</v>
      </c>
      <c r="I797" s="613">
        <f>H797/F797</f>
        <v>0.75278881030088973</v>
      </c>
      <c r="J797" s="53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</row>
    <row r="798" spans="1:108" s="2" customFormat="1" ht="15" customHeight="1">
      <c r="A798" s="803" t="s">
        <v>58</v>
      </c>
      <c r="B798" s="804"/>
      <c r="C798" s="805"/>
      <c r="D798" s="138">
        <v>10</v>
      </c>
      <c r="E798" s="137">
        <f t="shared" ref="E798" si="500">E216</f>
        <v>21876000</v>
      </c>
      <c r="F798" s="137">
        <f t="shared" ref="F798:H799" si="501">F216</f>
        <v>12028000</v>
      </c>
      <c r="G798" s="229">
        <f t="shared" si="501"/>
        <v>12028000</v>
      </c>
      <c r="H798" s="229">
        <f t="shared" si="501"/>
        <v>10150537.09</v>
      </c>
      <c r="I798" s="613">
        <f>H798/F798</f>
        <v>0.84390896990355835</v>
      </c>
      <c r="J798" s="53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</row>
    <row r="799" spans="1:108" s="2" customFormat="1" ht="15" customHeight="1">
      <c r="A799" s="803" t="s">
        <v>57</v>
      </c>
      <c r="B799" s="804"/>
      <c r="C799" s="805"/>
      <c r="D799" s="147">
        <v>20</v>
      </c>
      <c r="E799" s="137">
        <f t="shared" ref="E799" si="502">E217</f>
        <v>8291000</v>
      </c>
      <c r="F799" s="137">
        <f t="shared" si="501"/>
        <v>5461000</v>
      </c>
      <c r="G799" s="229">
        <f t="shared" si="501"/>
        <v>2742466</v>
      </c>
      <c r="H799" s="229">
        <f t="shared" si="501"/>
        <v>2131258.06</v>
      </c>
      <c r="I799" s="613">
        <f>H799/F799</f>
        <v>0.39026882622230363</v>
      </c>
      <c r="J799" s="53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</row>
    <row r="800" spans="1:108" s="2" customFormat="1" ht="15" customHeight="1">
      <c r="A800" s="816" t="s">
        <v>4</v>
      </c>
      <c r="B800" s="817"/>
      <c r="C800" s="799"/>
      <c r="D800" s="138" t="s">
        <v>49</v>
      </c>
      <c r="E800" s="137">
        <v>0</v>
      </c>
      <c r="F800" s="137">
        <v>0</v>
      </c>
      <c r="G800" s="229">
        <v>0</v>
      </c>
      <c r="H800" s="229">
        <v>0</v>
      </c>
      <c r="I800" s="613"/>
      <c r="J800" s="53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</row>
    <row r="801" spans="1:108" s="2" customFormat="1" ht="15" customHeight="1">
      <c r="A801" s="816" t="s">
        <v>61</v>
      </c>
      <c r="B801" s="817"/>
      <c r="C801" s="799"/>
      <c r="D801" s="147">
        <v>59</v>
      </c>
      <c r="E801" s="137">
        <f t="shared" ref="E801" si="503">E220</f>
        <v>388000</v>
      </c>
      <c r="F801" s="137">
        <f t="shared" ref="F801:H801" si="504">F220</f>
        <v>182000</v>
      </c>
      <c r="G801" s="229">
        <f t="shared" si="504"/>
        <v>144000</v>
      </c>
      <c r="H801" s="229">
        <f t="shared" si="504"/>
        <v>86984.84</v>
      </c>
      <c r="I801" s="613">
        <f>H801/F801</f>
        <v>0.47793868131868128</v>
      </c>
      <c r="J801" s="53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</row>
    <row r="802" spans="1:108" s="2" customFormat="1" ht="15" customHeight="1">
      <c r="A802" s="803" t="s">
        <v>28</v>
      </c>
      <c r="B802" s="804"/>
      <c r="C802" s="805"/>
      <c r="D802" s="180">
        <v>81</v>
      </c>
      <c r="E802" s="137">
        <f t="shared" ref="E802" si="505">E803+E804</f>
        <v>9396000</v>
      </c>
      <c r="F802" s="137">
        <f t="shared" ref="F802:H802" si="506">F803+F804</f>
        <v>4696000</v>
      </c>
      <c r="G802" s="229">
        <f t="shared" si="506"/>
        <v>4562076</v>
      </c>
      <c r="H802" s="229">
        <f t="shared" si="506"/>
        <v>4543045.33</v>
      </c>
      <c r="I802" s="613">
        <f>H802/F802</f>
        <v>0.96742873296422494</v>
      </c>
      <c r="J802" s="53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</row>
    <row r="803" spans="1:108" s="2" customFormat="1" ht="15" customHeight="1">
      <c r="A803" s="153"/>
      <c r="B803" s="798" t="s">
        <v>460</v>
      </c>
      <c r="C803" s="799"/>
      <c r="D803" s="180" t="s">
        <v>459</v>
      </c>
      <c r="E803" s="137">
        <f t="shared" ref="E803" si="507">E234</f>
        <v>199000</v>
      </c>
      <c r="F803" s="137">
        <f t="shared" ref="F803:H804" si="508">F234</f>
        <v>98000</v>
      </c>
      <c r="G803" s="229">
        <f t="shared" si="508"/>
        <v>32700</v>
      </c>
      <c r="H803" s="229">
        <f t="shared" si="508"/>
        <v>20024.93</v>
      </c>
      <c r="I803" s="613">
        <f>H803/F803</f>
        <v>0.20433602040816326</v>
      </c>
      <c r="J803" s="53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</row>
    <row r="804" spans="1:108" s="2" customFormat="1" ht="15" customHeight="1">
      <c r="A804" s="145"/>
      <c r="B804" s="873" t="s">
        <v>458</v>
      </c>
      <c r="C804" s="890"/>
      <c r="D804" s="180" t="s">
        <v>457</v>
      </c>
      <c r="E804" s="137">
        <f t="shared" ref="E804" si="509">E235</f>
        <v>9197000</v>
      </c>
      <c r="F804" s="137">
        <f t="shared" si="508"/>
        <v>4598000</v>
      </c>
      <c r="G804" s="229">
        <f t="shared" si="508"/>
        <v>4529376</v>
      </c>
      <c r="H804" s="229">
        <f t="shared" si="508"/>
        <v>4523020.4000000004</v>
      </c>
      <c r="I804" s="613">
        <f>H804/F804</f>
        <v>0.98369299695519796</v>
      </c>
      <c r="J804" s="53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</row>
    <row r="805" spans="1:108" s="2" customFormat="1" ht="38.25" customHeight="1">
      <c r="A805" s="811" t="s">
        <v>390</v>
      </c>
      <c r="B805" s="812"/>
      <c r="C805" s="813"/>
      <c r="D805" s="142" t="s">
        <v>389</v>
      </c>
      <c r="E805" s="193"/>
      <c r="F805" s="193"/>
      <c r="G805" s="445"/>
      <c r="H805" s="490">
        <f>H240</f>
        <v>-74198</v>
      </c>
      <c r="I805" s="613"/>
      <c r="J805" s="53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</row>
    <row r="806" spans="1:108" s="2" customFormat="1" ht="16.899999999999999" customHeight="1">
      <c r="A806" s="845" t="s">
        <v>101</v>
      </c>
      <c r="B806" s="846"/>
      <c r="C806" s="847"/>
      <c r="D806" s="159" t="s">
        <v>100</v>
      </c>
      <c r="E806" s="158">
        <f t="shared" ref="E806" si="510">E807+E808+E809+E810</f>
        <v>3942000</v>
      </c>
      <c r="F806" s="158">
        <f t="shared" ref="F806:H806" si="511">F807+F808+F809+F810</f>
        <v>1506000</v>
      </c>
      <c r="G806" s="446">
        <f t="shared" si="511"/>
        <v>1230846</v>
      </c>
      <c r="H806" s="446">
        <f t="shared" si="511"/>
        <v>1230844.43</v>
      </c>
      <c r="I806" s="613">
        <f>H806/F806</f>
        <v>0.81729377822045146</v>
      </c>
      <c r="J806" s="53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</row>
    <row r="807" spans="1:108" s="2" customFormat="1" ht="15" customHeight="1">
      <c r="A807" s="803" t="s">
        <v>58</v>
      </c>
      <c r="B807" s="804"/>
      <c r="C807" s="805"/>
      <c r="D807" s="138">
        <v>10</v>
      </c>
      <c r="E807" s="191">
        <v>0</v>
      </c>
      <c r="F807" s="191">
        <v>0</v>
      </c>
      <c r="G807" s="465">
        <v>0</v>
      </c>
      <c r="H807" s="465">
        <v>0</v>
      </c>
      <c r="I807" s="613"/>
      <c r="J807" s="53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</row>
    <row r="808" spans="1:108" s="2" customFormat="1" ht="15" customHeight="1">
      <c r="A808" s="803" t="s">
        <v>57</v>
      </c>
      <c r="B808" s="804"/>
      <c r="C808" s="805"/>
      <c r="D808" s="138">
        <v>20</v>
      </c>
      <c r="E808" s="191">
        <v>0</v>
      </c>
      <c r="F808" s="191">
        <v>0</v>
      </c>
      <c r="G808" s="465">
        <v>0</v>
      </c>
      <c r="H808" s="465">
        <v>0</v>
      </c>
      <c r="I808" s="613"/>
      <c r="J808" s="53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</row>
    <row r="809" spans="1:108" s="2" customFormat="1" ht="15" customHeight="1">
      <c r="A809" s="882" t="s">
        <v>97</v>
      </c>
      <c r="B809" s="883"/>
      <c r="C809" s="884"/>
      <c r="D809" s="138">
        <v>50</v>
      </c>
      <c r="E809" s="179">
        <f t="shared" ref="E809" si="512">E812</f>
        <v>1000000</v>
      </c>
      <c r="F809" s="179">
        <f t="shared" ref="F809:H809" si="513">F812</f>
        <v>0</v>
      </c>
      <c r="G809" s="326">
        <f t="shared" si="513"/>
        <v>0</v>
      </c>
      <c r="H809" s="326">
        <f t="shared" si="513"/>
        <v>0</v>
      </c>
      <c r="I809" s="613"/>
      <c r="J809" s="53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</row>
    <row r="810" spans="1:108" s="2" customFormat="1" ht="15" customHeight="1">
      <c r="A810" s="816" t="s">
        <v>4</v>
      </c>
      <c r="B810" s="817"/>
      <c r="C810" s="799"/>
      <c r="D810" s="138" t="s">
        <v>49</v>
      </c>
      <c r="E810" s="135">
        <f t="shared" ref="E810" si="514">E818+E823</f>
        <v>2942000</v>
      </c>
      <c r="F810" s="135">
        <f t="shared" ref="F810:H810" si="515">F818+F823</f>
        <v>1506000</v>
      </c>
      <c r="G810" s="233">
        <f t="shared" si="515"/>
        <v>1230846</v>
      </c>
      <c r="H810" s="233">
        <f t="shared" si="515"/>
        <v>1230844.43</v>
      </c>
      <c r="I810" s="613">
        <f>H810/F810</f>
        <v>0.81729377822045146</v>
      </c>
      <c r="J810" s="53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</row>
    <row r="811" spans="1:108" s="2" customFormat="1" ht="15" customHeight="1">
      <c r="A811" s="885"/>
      <c r="B811" s="886"/>
      <c r="C811" s="887"/>
      <c r="D811" s="147">
        <v>79</v>
      </c>
      <c r="E811" s="135">
        <v>0</v>
      </c>
      <c r="F811" s="135">
        <v>0</v>
      </c>
      <c r="G811" s="233">
        <v>0</v>
      </c>
      <c r="H811" s="233">
        <v>0</v>
      </c>
      <c r="I811" s="613"/>
      <c r="J811" s="53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</row>
    <row r="812" spans="1:108" s="2" customFormat="1" ht="15" customHeight="1">
      <c r="A812" s="879" t="s">
        <v>456</v>
      </c>
      <c r="B812" s="880"/>
      <c r="C812" s="881"/>
      <c r="D812" s="184" t="s">
        <v>98</v>
      </c>
      <c r="E812" s="181">
        <f t="shared" ref="E812:H812" si="516">E813</f>
        <v>1000000</v>
      </c>
      <c r="F812" s="181">
        <f t="shared" si="516"/>
        <v>0</v>
      </c>
      <c r="G812" s="466">
        <f t="shared" si="516"/>
        <v>0</v>
      </c>
      <c r="H812" s="466">
        <f t="shared" si="516"/>
        <v>0</v>
      </c>
      <c r="I812" s="613"/>
      <c r="J812" s="53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</row>
    <row r="813" spans="1:108" s="2" customFormat="1" ht="15" customHeight="1">
      <c r="A813" s="888" t="s">
        <v>97</v>
      </c>
      <c r="B813" s="889"/>
      <c r="C813" s="889"/>
      <c r="D813" s="192" t="s">
        <v>96</v>
      </c>
      <c r="E813" s="191">
        <f t="shared" ref="E813" si="517">E255</f>
        <v>1000000</v>
      </c>
      <c r="F813" s="191">
        <f t="shared" ref="F813:H813" si="518">F255</f>
        <v>0</v>
      </c>
      <c r="G813" s="465">
        <f t="shared" si="518"/>
        <v>0</v>
      </c>
      <c r="H813" s="465">
        <f t="shared" si="518"/>
        <v>0</v>
      </c>
      <c r="I813" s="613"/>
      <c r="J813" s="53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</row>
    <row r="814" spans="1:108" s="2" customFormat="1" ht="15" hidden="1" customHeight="1">
      <c r="A814" s="563"/>
      <c r="B814" s="572"/>
      <c r="C814" s="190"/>
      <c r="D814" s="189"/>
      <c r="E814" s="158"/>
      <c r="F814" s="158"/>
      <c r="G814" s="446"/>
      <c r="H814" s="446"/>
      <c r="I814" s="613" t="e">
        <f t="shared" ref="I814:I821" si="519">H814/F814</f>
        <v>#DIV/0!</v>
      </c>
      <c r="J814" s="53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</row>
    <row r="815" spans="1:108" s="2" customFormat="1" ht="15" hidden="1" customHeight="1">
      <c r="A815" s="145"/>
      <c r="B815" s="149"/>
      <c r="C815" s="148"/>
      <c r="D815" s="188"/>
      <c r="E815" s="187"/>
      <c r="F815" s="187"/>
      <c r="G815" s="334"/>
      <c r="H815" s="334"/>
      <c r="I815" s="613" t="e">
        <f t="shared" si="519"/>
        <v>#DIV/0!</v>
      </c>
      <c r="J815" s="53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</row>
    <row r="816" spans="1:108" s="2" customFormat="1" ht="15" hidden="1" customHeight="1">
      <c r="A816" s="563"/>
      <c r="B816" s="148"/>
      <c r="C816" s="578"/>
      <c r="D816" s="147"/>
      <c r="E816" s="137"/>
      <c r="F816" s="137"/>
      <c r="G816" s="229"/>
      <c r="H816" s="229"/>
      <c r="I816" s="613" t="e">
        <f t="shared" si="519"/>
        <v>#DIV/0!</v>
      </c>
      <c r="J816" s="53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</row>
    <row r="817" spans="1:108" s="2" customFormat="1" ht="15" customHeight="1">
      <c r="A817" s="879" t="s">
        <v>455</v>
      </c>
      <c r="B817" s="880"/>
      <c r="C817" s="881"/>
      <c r="D817" s="184" t="s">
        <v>90</v>
      </c>
      <c r="E817" s="181">
        <f t="shared" ref="E817:H817" si="520">E818</f>
        <v>2942000</v>
      </c>
      <c r="F817" s="181">
        <f t="shared" si="520"/>
        <v>1506000</v>
      </c>
      <c r="G817" s="466">
        <f t="shared" si="520"/>
        <v>1230846</v>
      </c>
      <c r="H817" s="466">
        <f t="shared" si="520"/>
        <v>1230844.43</v>
      </c>
      <c r="I817" s="613">
        <f t="shared" si="519"/>
        <v>0.81729377822045146</v>
      </c>
      <c r="J817" s="53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</row>
    <row r="818" spans="1:108" s="2" customFormat="1" ht="15" customHeight="1">
      <c r="A818" s="816" t="s">
        <v>4</v>
      </c>
      <c r="B818" s="817"/>
      <c r="C818" s="799"/>
      <c r="D818" s="140">
        <v>51</v>
      </c>
      <c r="E818" s="179">
        <f t="shared" ref="E818" si="521">E259</f>
        <v>2942000</v>
      </c>
      <c r="F818" s="179">
        <f t="shared" ref="F818:H818" si="522">F259</f>
        <v>1506000</v>
      </c>
      <c r="G818" s="326">
        <f t="shared" si="522"/>
        <v>1230846</v>
      </c>
      <c r="H818" s="326">
        <f t="shared" si="522"/>
        <v>1230844.43</v>
      </c>
      <c r="I818" s="613">
        <f t="shared" si="519"/>
        <v>0.81729377822045146</v>
      </c>
      <c r="J818" s="53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</row>
    <row r="819" spans="1:108" s="2" customFormat="1" ht="15" customHeight="1">
      <c r="A819" s="577"/>
      <c r="B819" s="848" t="s">
        <v>431</v>
      </c>
      <c r="C819" s="849"/>
      <c r="D819" s="147" t="s">
        <v>399</v>
      </c>
      <c r="E819" s="179">
        <f t="shared" ref="E819" si="523">E259</f>
        <v>2942000</v>
      </c>
      <c r="F819" s="179">
        <f t="shared" ref="F819:H819" si="524">F259</f>
        <v>1506000</v>
      </c>
      <c r="G819" s="326">
        <f t="shared" si="524"/>
        <v>1230846</v>
      </c>
      <c r="H819" s="326">
        <f t="shared" si="524"/>
        <v>1230844.43</v>
      </c>
      <c r="I819" s="613">
        <f t="shared" si="519"/>
        <v>0.81729377822045146</v>
      </c>
      <c r="J819" s="53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</row>
    <row r="820" spans="1:108" s="2" customFormat="1" ht="15" hidden="1" customHeight="1">
      <c r="A820" s="186"/>
      <c r="B820" s="544"/>
      <c r="C820" s="185"/>
      <c r="D820" s="564"/>
      <c r="E820" s="137"/>
      <c r="F820" s="137"/>
      <c r="G820" s="229"/>
      <c r="H820" s="229"/>
      <c r="I820" s="613" t="e">
        <f t="shared" si="519"/>
        <v>#DIV/0!</v>
      </c>
      <c r="J820" s="53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</row>
    <row r="821" spans="1:108" s="2" customFormat="1" ht="15" hidden="1" customHeight="1">
      <c r="A821" s="186"/>
      <c r="B821" s="544"/>
      <c r="C821" s="185"/>
      <c r="D821" s="564"/>
      <c r="E821" s="137"/>
      <c r="F821" s="137"/>
      <c r="G821" s="229"/>
      <c r="H821" s="229"/>
      <c r="I821" s="613" t="e">
        <f t="shared" si="519"/>
        <v>#DIV/0!</v>
      </c>
      <c r="J821" s="53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</row>
    <row r="822" spans="1:108" s="2" customFormat="1" ht="15" customHeight="1">
      <c r="A822" s="879" t="s">
        <v>454</v>
      </c>
      <c r="B822" s="880"/>
      <c r="C822" s="881"/>
      <c r="D822" s="184" t="s">
        <v>88</v>
      </c>
      <c r="E822" s="181">
        <f t="shared" ref="E822:H823" si="525">E823</f>
        <v>0</v>
      </c>
      <c r="F822" s="181">
        <f t="shared" si="525"/>
        <v>0</v>
      </c>
      <c r="G822" s="466">
        <f t="shared" si="525"/>
        <v>0</v>
      </c>
      <c r="H822" s="466">
        <f t="shared" si="525"/>
        <v>0</v>
      </c>
      <c r="I822" s="613"/>
      <c r="J822" s="53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</row>
    <row r="823" spans="1:108" s="2" customFormat="1" ht="15" customHeight="1">
      <c r="A823" s="859" t="s">
        <v>4</v>
      </c>
      <c r="B823" s="860"/>
      <c r="C823" s="861"/>
      <c r="D823" s="140">
        <v>51</v>
      </c>
      <c r="E823" s="183">
        <f t="shared" si="525"/>
        <v>0</v>
      </c>
      <c r="F823" s="183">
        <f t="shared" si="525"/>
        <v>0</v>
      </c>
      <c r="G823" s="467">
        <f t="shared" si="525"/>
        <v>0</v>
      </c>
      <c r="H823" s="467">
        <f t="shared" si="525"/>
        <v>0</v>
      </c>
      <c r="I823" s="613"/>
      <c r="J823" s="53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</row>
    <row r="824" spans="1:108" s="2" customFormat="1" ht="15" customHeight="1">
      <c r="A824" s="177"/>
      <c r="B824" s="848" t="s">
        <v>431</v>
      </c>
      <c r="C824" s="849"/>
      <c r="D824" s="147" t="s">
        <v>399</v>
      </c>
      <c r="E824" s="137">
        <f t="shared" ref="E824" si="526">E265</f>
        <v>0</v>
      </c>
      <c r="F824" s="137">
        <f t="shared" ref="F824:H824" si="527">F265</f>
        <v>0</v>
      </c>
      <c r="G824" s="229">
        <f t="shared" si="527"/>
        <v>0</v>
      </c>
      <c r="H824" s="229">
        <f t="shared" si="527"/>
        <v>0</v>
      </c>
      <c r="I824" s="613"/>
      <c r="J824" s="53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</row>
    <row r="825" spans="1:108" s="2" customFormat="1" ht="16.899999999999999" customHeight="1">
      <c r="A825" s="845" t="s">
        <v>453</v>
      </c>
      <c r="B825" s="846"/>
      <c r="C825" s="847"/>
      <c r="D825" s="159" t="s">
        <v>452</v>
      </c>
      <c r="E825" s="158">
        <f t="shared" ref="E825" si="528">E826+E827</f>
        <v>1784000</v>
      </c>
      <c r="F825" s="158">
        <f t="shared" ref="F825:H825" si="529">F826+F827</f>
        <v>924000</v>
      </c>
      <c r="G825" s="446">
        <f t="shared" si="529"/>
        <v>725536</v>
      </c>
      <c r="H825" s="446">
        <f t="shared" si="529"/>
        <v>720427.71</v>
      </c>
      <c r="I825" s="613">
        <f t="shared" ref="I825:I838" si="530">H825/F825</f>
        <v>0.7796836688311688</v>
      </c>
      <c r="J825" s="53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</row>
    <row r="826" spans="1:108" s="2" customFormat="1" ht="15" customHeight="1">
      <c r="A826" s="182"/>
      <c r="B826" s="877" t="s">
        <v>451</v>
      </c>
      <c r="C826" s="877"/>
      <c r="D826" s="147">
        <v>20</v>
      </c>
      <c r="E826" s="137">
        <f t="shared" ref="E826" si="531">E270</f>
        <v>40000</v>
      </c>
      <c r="F826" s="137">
        <f t="shared" ref="F826:H827" si="532">F270</f>
        <v>21000</v>
      </c>
      <c r="G826" s="229">
        <f t="shared" si="532"/>
        <v>19455</v>
      </c>
      <c r="H826" s="229">
        <f t="shared" si="532"/>
        <v>19455</v>
      </c>
      <c r="I826" s="613">
        <f t="shared" si="530"/>
        <v>0.92642857142857138</v>
      </c>
      <c r="J826" s="53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</row>
    <row r="827" spans="1:108" s="2" customFormat="1" ht="15" customHeight="1">
      <c r="A827" s="141"/>
      <c r="B827" s="878" t="s">
        <v>450</v>
      </c>
      <c r="C827" s="805"/>
      <c r="D827" s="147">
        <v>30</v>
      </c>
      <c r="E827" s="137">
        <f t="shared" ref="E827" si="533">E271</f>
        <v>1744000</v>
      </c>
      <c r="F827" s="137">
        <f t="shared" si="532"/>
        <v>903000</v>
      </c>
      <c r="G827" s="229">
        <f t="shared" si="532"/>
        <v>706081</v>
      </c>
      <c r="H827" s="229">
        <f t="shared" si="532"/>
        <v>700972.71</v>
      </c>
      <c r="I827" s="613">
        <f t="shared" si="530"/>
        <v>0.7762709966777408</v>
      </c>
      <c r="J827" s="53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</row>
    <row r="828" spans="1:108" s="2" customFormat="1" ht="15" customHeight="1">
      <c r="A828" s="845" t="s">
        <v>449</v>
      </c>
      <c r="B828" s="846"/>
      <c r="C828" s="847"/>
      <c r="D828" s="159" t="s">
        <v>85</v>
      </c>
      <c r="E828" s="158">
        <f t="shared" ref="E828:H828" si="534">E829</f>
        <v>500000</v>
      </c>
      <c r="F828" s="158">
        <f t="shared" si="534"/>
        <v>289000</v>
      </c>
      <c r="G828" s="446">
        <f t="shared" si="534"/>
        <v>240999</v>
      </c>
      <c r="H828" s="446">
        <f t="shared" si="534"/>
        <v>234470.94</v>
      </c>
      <c r="I828" s="613">
        <f t="shared" si="530"/>
        <v>0.81131813148788923</v>
      </c>
      <c r="J828" s="53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</row>
    <row r="829" spans="1:108" s="2" customFormat="1" ht="15" customHeight="1">
      <c r="A829" s="803" t="s">
        <v>57</v>
      </c>
      <c r="B829" s="804"/>
      <c r="C829" s="805"/>
      <c r="D829" s="147">
        <v>20</v>
      </c>
      <c r="E829" s="137">
        <f t="shared" ref="E829" si="535">E273</f>
        <v>500000</v>
      </c>
      <c r="F829" s="137">
        <f t="shared" ref="F829:H829" si="536">F273</f>
        <v>289000</v>
      </c>
      <c r="G829" s="229">
        <f t="shared" si="536"/>
        <v>240999</v>
      </c>
      <c r="H829" s="229">
        <f t="shared" si="536"/>
        <v>234470.94</v>
      </c>
      <c r="I829" s="613">
        <f t="shared" si="530"/>
        <v>0.81131813148788923</v>
      </c>
      <c r="J829" s="53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</row>
    <row r="830" spans="1:108" s="2" customFormat="1" ht="15" customHeight="1">
      <c r="A830" s="845" t="s">
        <v>84</v>
      </c>
      <c r="B830" s="846"/>
      <c r="C830" s="847"/>
      <c r="D830" s="159" t="s">
        <v>83</v>
      </c>
      <c r="E830" s="158">
        <f t="shared" ref="E830:H830" si="537">E831</f>
        <v>500000</v>
      </c>
      <c r="F830" s="158">
        <f t="shared" si="537"/>
        <v>334000</v>
      </c>
      <c r="G830" s="446">
        <f t="shared" si="537"/>
        <v>301221</v>
      </c>
      <c r="H830" s="446">
        <f t="shared" si="537"/>
        <v>222478.89</v>
      </c>
      <c r="I830" s="613">
        <f t="shared" si="530"/>
        <v>0.66610446107784438</v>
      </c>
      <c r="J830" s="53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</row>
    <row r="831" spans="1:108" s="2" customFormat="1" ht="15" customHeight="1">
      <c r="A831" s="803" t="s">
        <v>57</v>
      </c>
      <c r="B831" s="804"/>
      <c r="C831" s="805"/>
      <c r="D831" s="147">
        <v>20</v>
      </c>
      <c r="E831" s="137">
        <f t="shared" ref="E831" si="538">E278</f>
        <v>500000</v>
      </c>
      <c r="F831" s="137">
        <f t="shared" ref="F831:H831" si="539">F278</f>
        <v>334000</v>
      </c>
      <c r="G831" s="229">
        <f t="shared" si="539"/>
        <v>301221</v>
      </c>
      <c r="H831" s="229">
        <f t="shared" si="539"/>
        <v>222478.89</v>
      </c>
      <c r="I831" s="613">
        <f t="shared" si="530"/>
        <v>0.66610446107784438</v>
      </c>
      <c r="J831" s="53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</row>
    <row r="832" spans="1:108" s="2" customFormat="1" ht="15" customHeight="1">
      <c r="A832" s="824" t="s">
        <v>448</v>
      </c>
      <c r="B832" s="825"/>
      <c r="C832" s="825"/>
      <c r="D832" s="159" t="s">
        <v>81</v>
      </c>
      <c r="E832" s="158">
        <f t="shared" ref="E832" si="540">E833+E837+E842</f>
        <v>13055000</v>
      </c>
      <c r="F832" s="158">
        <f t="shared" ref="F832:H832" si="541">F833+F837+F842</f>
        <v>10076000</v>
      </c>
      <c r="G832" s="446">
        <f t="shared" si="541"/>
        <v>3219699</v>
      </c>
      <c r="H832" s="446">
        <f t="shared" si="541"/>
        <v>3091459.4</v>
      </c>
      <c r="I832" s="613">
        <f t="shared" si="530"/>
        <v>0.306814152441445</v>
      </c>
      <c r="J832" s="53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</row>
    <row r="833" spans="1:108" s="2" customFormat="1" ht="15" hidden="1" customHeight="1">
      <c r="A833" s="822" t="s">
        <v>447</v>
      </c>
      <c r="B833" s="823"/>
      <c r="C833" s="823"/>
      <c r="D833" s="180"/>
      <c r="E833" s="181"/>
      <c r="F833" s="181"/>
      <c r="G833" s="466"/>
      <c r="H833" s="466"/>
      <c r="I833" s="613" t="e">
        <f t="shared" si="530"/>
        <v>#DIV/0!</v>
      </c>
      <c r="J833" s="53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</row>
    <row r="834" spans="1:108" s="2" customFormat="1" ht="15" hidden="1" customHeight="1">
      <c r="A834" s="872" t="s">
        <v>58</v>
      </c>
      <c r="B834" s="873"/>
      <c r="C834" s="873"/>
      <c r="D834" s="180">
        <v>10</v>
      </c>
      <c r="E834" s="135"/>
      <c r="F834" s="135"/>
      <c r="G834" s="233"/>
      <c r="H834" s="233"/>
      <c r="I834" s="613" t="e">
        <f t="shared" si="530"/>
        <v>#DIV/0!</v>
      </c>
      <c r="J834" s="53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</row>
    <row r="835" spans="1:108" s="2" customFormat="1" ht="15" hidden="1" customHeight="1">
      <c r="A835" s="872" t="s">
        <v>57</v>
      </c>
      <c r="B835" s="873"/>
      <c r="C835" s="873"/>
      <c r="D835" s="180">
        <v>20</v>
      </c>
      <c r="E835" s="135"/>
      <c r="F835" s="135"/>
      <c r="G835" s="233"/>
      <c r="H835" s="233"/>
      <c r="I835" s="613" t="e">
        <f t="shared" si="530"/>
        <v>#DIV/0!</v>
      </c>
      <c r="J835" s="53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</row>
    <row r="836" spans="1:108" s="2" customFormat="1" ht="15" hidden="1" customHeight="1">
      <c r="A836" s="874"/>
      <c r="B836" s="875"/>
      <c r="C836" s="876"/>
      <c r="D836" s="159"/>
      <c r="E836" s="158"/>
      <c r="F836" s="158"/>
      <c r="G836" s="446"/>
      <c r="H836" s="446"/>
      <c r="I836" s="613" t="e">
        <f t="shared" si="530"/>
        <v>#DIV/0!</v>
      </c>
      <c r="J836" s="53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</row>
    <row r="837" spans="1:108" s="2" customFormat="1" ht="15" customHeight="1">
      <c r="A837" s="855" t="s">
        <v>446</v>
      </c>
      <c r="B837" s="856"/>
      <c r="C837" s="857"/>
      <c r="D837" s="140" t="s">
        <v>73</v>
      </c>
      <c r="E837" s="139">
        <f t="shared" ref="E837" si="542">E287</f>
        <v>6625000</v>
      </c>
      <c r="F837" s="139">
        <f t="shared" ref="F837:H837" si="543">F287</f>
        <v>6625000</v>
      </c>
      <c r="G837" s="304">
        <f t="shared" si="543"/>
        <v>1374000</v>
      </c>
      <c r="H837" s="304">
        <f t="shared" si="543"/>
        <v>1358224.3</v>
      </c>
      <c r="I837" s="613">
        <f t="shared" si="530"/>
        <v>0.20501498867924528</v>
      </c>
      <c r="J837" s="53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</row>
    <row r="838" spans="1:108" s="2" customFormat="1" ht="15" hidden="1" customHeight="1">
      <c r="A838" s="803"/>
      <c r="B838" s="804"/>
      <c r="C838" s="805"/>
      <c r="D838" s="147"/>
      <c r="E838" s="137"/>
      <c r="F838" s="137"/>
      <c r="G838" s="229"/>
      <c r="H838" s="229"/>
      <c r="I838" s="613" t="e">
        <f t="shared" si="530"/>
        <v>#DIV/0!</v>
      </c>
      <c r="J838" s="53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</row>
    <row r="839" spans="1:108" s="2" customFormat="1" ht="15" customHeight="1">
      <c r="A839" s="870" t="s">
        <v>57</v>
      </c>
      <c r="B839" s="871"/>
      <c r="C839" s="849"/>
      <c r="D839" s="147">
        <v>20</v>
      </c>
      <c r="E839" s="137">
        <f t="shared" ref="E839" si="544">E288</f>
        <v>116000</v>
      </c>
      <c r="F839" s="137">
        <f t="shared" ref="F839:H841" si="545">F288</f>
        <v>116000</v>
      </c>
      <c r="G839" s="229">
        <f t="shared" si="545"/>
        <v>0</v>
      </c>
      <c r="H839" s="229">
        <f t="shared" si="545"/>
        <v>0</v>
      </c>
      <c r="I839" s="613"/>
      <c r="J839" s="53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</row>
    <row r="840" spans="1:108" s="2" customFormat="1" ht="15" customHeight="1">
      <c r="A840" s="870" t="s">
        <v>419</v>
      </c>
      <c r="B840" s="871"/>
      <c r="C840" s="849"/>
      <c r="D840" s="147">
        <v>57</v>
      </c>
      <c r="E840" s="137">
        <f t="shared" ref="E840" si="546">E289</f>
        <v>6509000</v>
      </c>
      <c r="F840" s="137">
        <f t="shared" si="545"/>
        <v>6509000</v>
      </c>
      <c r="G840" s="229">
        <f t="shared" si="545"/>
        <v>1374000</v>
      </c>
      <c r="H840" s="229">
        <f t="shared" si="545"/>
        <v>1360117.2</v>
      </c>
      <c r="I840" s="613">
        <f>H840/F840</f>
        <v>0.20895947150099861</v>
      </c>
      <c r="J840" s="53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</row>
    <row r="841" spans="1:108" s="2" customFormat="1" ht="38.25" customHeight="1">
      <c r="A841" s="811" t="s">
        <v>390</v>
      </c>
      <c r="B841" s="812"/>
      <c r="C841" s="813"/>
      <c r="D841" s="142" t="s">
        <v>389</v>
      </c>
      <c r="E841" s="137">
        <f t="shared" ref="E841" si="547">E290</f>
        <v>0</v>
      </c>
      <c r="F841" s="137">
        <f t="shared" si="545"/>
        <v>0</v>
      </c>
      <c r="G841" s="229">
        <f t="shared" si="545"/>
        <v>0</v>
      </c>
      <c r="H841" s="229">
        <f t="shared" si="545"/>
        <v>-1892.9</v>
      </c>
      <c r="I841" s="613"/>
      <c r="J841" s="53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</row>
    <row r="842" spans="1:108" s="2" customFormat="1" ht="15" customHeight="1">
      <c r="A842" s="822" t="s">
        <v>80</v>
      </c>
      <c r="B842" s="823"/>
      <c r="C842" s="823"/>
      <c r="D842" s="140" t="s">
        <v>73</v>
      </c>
      <c r="E842" s="139">
        <f t="shared" ref="E842" si="548">E850+E858+E866+E871+E874+E877+E880+E883</f>
        <v>6430000</v>
      </c>
      <c r="F842" s="139">
        <f t="shared" ref="F842:H842" si="549">F850+F858+F866+F871+F874+F877+F880+F883</f>
        <v>3451000</v>
      </c>
      <c r="G842" s="304">
        <f t="shared" si="549"/>
        <v>1845699</v>
      </c>
      <c r="H842" s="304">
        <f t="shared" si="549"/>
        <v>1733235.0999999999</v>
      </c>
      <c r="I842" s="613">
        <f t="shared" ref="I842:I848" si="550">H842/F842</f>
        <v>0.5022414082874529</v>
      </c>
      <c r="J842" s="53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</row>
    <row r="843" spans="1:108" s="2" customFormat="1" ht="15" customHeight="1">
      <c r="A843" s="803" t="s">
        <v>58</v>
      </c>
      <c r="B843" s="804"/>
      <c r="C843" s="805"/>
      <c r="D843" s="147">
        <v>10</v>
      </c>
      <c r="E843" s="135">
        <f>E851+E859+E867</f>
        <v>106000</v>
      </c>
      <c r="F843" s="135">
        <f>F851+F859+F867</f>
        <v>57000</v>
      </c>
      <c r="G843" s="135">
        <f t="shared" ref="G843:H843" si="551">G851+G859+G867</f>
        <v>40724</v>
      </c>
      <c r="H843" s="135">
        <f t="shared" si="551"/>
        <v>40674</v>
      </c>
      <c r="I843" s="613">
        <f t="shared" si="550"/>
        <v>0.71357894736842109</v>
      </c>
      <c r="J843" s="53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</row>
    <row r="844" spans="1:108" s="2" customFormat="1" ht="15" customHeight="1">
      <c r="A844" s="803" t="s">
        <v>57</v>
      </c>
      <c r="B844" s="804"/>
      <c r="C844" s="805"/>
      <c r="D844" s="147">
        <v>20</v>
      </c>
      <c r="E844" s="135">
        <f>E852+E860+E868+E873+E872</f>
        <v>3343000</v>
      </c>
      <c r="F844" s="135">
        <f>F852+F860+F868+F873+F872</f>
        <v>1613000</v>
      </c>
      <c r="G844" s="233">
        <f t="shared" ref="G844:H844" si="552">G852+G860+G868+G873+G872</f>
        <v>759852</v>
      </c>
      <c r="H844" s="233">
        <f t="shared" si="552"/>
        <v>677272.38</v>
      </c>
      <c r="I844" s="613">
        <f t="shared" si="550"/>
        <v>0.41988368257904524</v>
      </c>
      <c r="J844" s="53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</row>
    <row r="845" spans="1:108" s="2" customFormat="1" ht="13.9" customHeight="1">
      <c r="A845" s="859" t="s">
        <v>4</v>
      </c>
      <c r="B845" s="860"/>
      <c r="C845" s="861"/>
      <c r="D845" s="147" t="s">
        <v>399</v>
      </c>
      <c r="E845" s="135">
        <f t="shared" ref="E845" si="553">E874+E877+E880</f>
        <v>1447000</v>
      </c>
      <c r="F845" s="135">
        <f t="shared" ref="F845:H845" si="554">F874+F877+F880</f>
        <v>752000</v>
      </c>
      <c r="G845" s="233">
        <f t="shared" si="554"/>
        <v>436739</v>
      </c>
      <c r="H845" s="233">
        <f t="shared" si="554"/>
        <v>436739</v>
      </c>
      <c r="I845" s="613">
        <f t="shared" si="550"/>
        <v>0.58076994680851068</v>
      </c>
      <c r="J845" s="53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</row>
    <row r="846" spans="1:108" s="2" customFormat="1" ht="13.9" customHeight="1">
      <c r="A846" s="826" t="s">
        <v>405</v>
      </c>
      <c r="B846" s="827"/>
      <c r="C846" s="828"/>
      <c r="D846" s="147">
        <v>55</v>
      </c>
      <c r="E846" s="135">
        <f t="shared" ref="E846" si="555">E886</f>
        <v>123000</v>
      </c>
      <c r="F846" s="135">
        <f t="shared" ref="F846:H846" si="556">F886</f>
        <v>77000</v>
      </c>
      <c r="G846" s="135">
        <f t="shared" si="556"/>
        <v>77000</v>
      </c>
      <c r="H846" s="135">
        <f t="shared" si="556"/>
        <v>76332.5</v>
      </c>
      <c r="I846" s="613">
        <f t="shared" si="550"/>
        <v>0.99133116883116879</v>
      </c>
      <c r="J846" s="53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</row>
    <row r="847" spans="1:108" s="2" customFormat="1" ht="15" customHeight="1">
      <c r="A847" s="814" t="s">
        <v>419</v>
      </c>
      <c r="B847" s="815"/>
      <c r="C847" s="815"/>
      <c r="D847" s="147">
        <v>57</v>
      </c>
      <c r="E847" s="135">
        <f t="shared" ref="E847" si="557">E853+E861</f>
        <v>875000</v>
      </c>
      <c r="F847" s="135">
        <f t="shared" ref="F847:H847" si="558">F853+F861</f>
        <v>680000</v>
      </c>
      <c r="G847" s="233">
        <f t="shared" si="558"/>
        <v>344134</v>
      </c>
      <c r="H847" s="233">
        <f t="shared" si="558"/>
        <v>316493.40000000002</v>
      </c>
      <c r="I847" s="613">
        <f t="shared" si="550"/>
        <v>0.46543147058823531</v>
      </c>
      <c r="J847" s="53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</row>
    <row r="848" spans="1:108" s="2" customFormat="1" ht="15" customHeight="1">
      <c r="A848" s="816" t="s">
        <v>61</v>
      </c>
      <c r="B848" s="817"/>
      <c r="C848" s="799"/>
      <c r="D848" s="147">
        <v>59</v>
      </c>
      <c r="E848" s="135">
        <f t="shared" ref="E848" si="559">E856+E864+E869+E884</f>
        <v>536000</v>
      </c>
      <c r="F848" s="135">
        <f t="shared" ref="F848:G848" si="560">F856+F864+F869+F884</f>
        <v>272000</v>
      </c>
      <c r="G848" s="233">
        <f t="shared" si="560"/>
        <v>187250</v>
      </c>
      <c r="H848" s="233">
        <f>H856+H864+H869+H884</f>
        <v>187250</v>
      </c>
      <c r="I848" s="613">
        <f t="shared" si="550"/>
        <v>0.68841911764705888</v>
      </c>
      <c r="J848" s="53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</row>
    <row r="849" spans="1:108" s="2" customFormat="1" ht="24.75" customHeight="1">
      <c r="A849" s="811" t="s">
        <v>390</v>
      </c>
      <c r="B849" s="812"/>
      <c r="C849" s="813"/>
      <c r="D849" s="142" t="s">
        <v>389</v>
      </c>
      <c r="E849" s="135">
        <f t="shared" ref="E849" si="561">E857+E865+E870</f>
        <v>0</v>
      </c>
      <c r="F849" s="135">
        <f t="shared" ref="F849:H849" si="562">F857+F865+F870</f>
        <v>0</v>
      </c>
      <c r="G849" s="233">
        <f t="shared" si="562"/>
        <v>0</v>
      </c>
      <c r="H849" s="233">
        <f t="shared" si="562"/>
        <v>-1526.18</v>
      </c>
      <c r="I849" s="613"/>
      <c r="J849" s="53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</row>
    <row r="850" spans="1:108" s="2" customFormat="1" ht="15" customHeight="1">
      <c r="A850" s="793" t="s">
        <v>445</v>
      </c>
      <c r="B850" s="794"/>
      <c r="C850" s="795"/>
      <c r="D850" s="140" t="s">
        <v>73</v>
      </c>
      <c r="E850" s="151">
        <f t="shared" ref="E850" si="563">E851+E852+E853+E857+E856</f>
        <v>1941000</v>
      </c>
      <c r="F850" s="151">
        <f t="shared" ref="F850:H850" si="564">F851+F852+F853+F857+F856</f>
        <v>1126000</v>
      </c>
      <c r="G850" s="460">
        <f t="shared" si="564"/>
        <v>481015</v>
      </c>
      <c r="H850" s="460">
        <f t="shared" si="564"/>
        <v>451103.82</v>
      </c>
      <c r="I850" s="613">
        <f>H850/F850</f>
        <v>0.4006250621669627</v>
      </c>
      <c r="J850" s="53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</row>
    <row r="851" spans="1:108" s="2" customFormat="1" ht="15" customHeight="1">
      <c r="A851" s="803" t="s">
        <v>58</v>
      </c>
      <c r="B851" s="804"/>
      <c r="C851" s="805"/>
      <c r="D851" s="147">
        <v>10</v>
      </c>
      <c r="E851" s="137">
        <f t="shared" ref="E851" si="565">E312</f>
        <v>0</v>
      </c>
      <c r="F851" s="137">
        <f t="shared" ref="F851:H852" si="566">F312</f>
        <v>0</v>
      </c>
      <c r="G851" s="229">
        <f t="shared" si="566"/>
        <v>0</v>
      </c>
      <c r="H851" s="229">
        <f t="shared" si="566"/>
        <v>0</v>
      </c>
      <c r="I851" s="613"/>
      <c r="J851" s="53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</row>
    <row r="852" spans="1:108" s="2" customFormat="1" ht="15" customHeight="1">
      <c r="A852" s="803" t="s">
        <v>57</v>
      </c>
      <c r="B852" s="804"/>
      <c r="C852" s="805"/>
      <c r="D852" s="147">
        <v>20</v>
      </c>
      <c r="E852" s="137">
        <f t="shared" ref="E852" si="567">E313</f>
        <v>1642000</v>
      </c>
      <c r="F852" s="137">
        <f t="shared" si="566"/>
        <v>873000</v>
      </c>
      <c r="G852" s="229">
        <f t="shared" si="566"/>
        <v>376369</v>
      </c>
      <c r="H852" s="229">
        <f t="shared" si="566"/>
        <v>346457.82</v>
      </c>
      <c r="I852" s="613">
        <f>H852/F852</f>
        <v>0.39685890034364263</v>
      </c>
      <c r="J852" s="53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</row>
    <row r="853" spans="1:108" s="2" customFormat="1" ht="15" customHeight="1">
      <c r="A853" s="814" t="s">
        <v>419</v>
      </c>
      <c r="B853" s="815"/>
      <c r="C853" s="815"/>
      <c r="D853" s="147">
        <v>57</v>
      </c>
      <c r="E853" s="137">
        <f t="shared" ref="E853" si="568">E854+E855</f>
        <v>179000</v>
      </c>
      <c r="F853" s="137">
        <f t="shared" ref="F853:H853" si="569">F854+F855</f>
        <v>179000</v>
      </c>
      <c r="G853" s="229">
        <f t="shared" si="569"/>
        <v>53896</v>
      </c>
      <c r="H853" s="229">
        <f t="shared" si="569"/>
        <v>53896</v>
      </c>
      <c r="I853" s="613">
        <f>H853/F853</f>
        <v>0.30109497206703911</v>
      </c>
      <c r="J853" s="53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</row>
    <row r="854" spans="1:108" s="2" customFormat="1" ht="15" customHeight="1">
      <c r="A854" s="862" t="s">
        <v>443</v>
      </c>
      <c r="B854" s="863"/>
      <c r="C854" s="863"/>
      <c r="D854" s="147" t="s">
        <v>417</v>
      </c>
      <c r="E854" s="137">
        <f t="shared" ref="E854" si="570">E315</f>
        <v>179000</v>
      </c>
      <c r="F854" s="137">
        <f t="shared" ref="F854:H855" si="571">F315</f>
        <v>179000</v>
      </c>
      <c r="G854" s="229">
        <f t="shared" si="571"/>
        <v>53896</v>
      </c>
      <c r="H854" s="229">
        <f t="shared" si="571"/>
        <v>53896</v>
      </c>
      <c r="I854" s="613">
        <f>H854/F854</f>
        <v>0.30109497206703911</v>
      </c>
      <c r="J854" s="53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</row>
    <row r="855" spans="1:108" s="2" customFormat="1" ht="15" customHeight="1">
      <c r="A855" s="862" t="s">
        <v>442</v>
      </c>
      <c r="B855" s="863"/>
      <c r="C855" s="863"/>
      <c r="D855" s="147" t="s">
        <v>415</v>
      </c>
      <c r="E855" s="137">
        <f t="shared" ref="E855" si="572">E316</f>
        <v>0</v>
      </c>
      <c r="F855" s="137">
        <f t="shared" si="571"/>
        <v>0</v>
      </c>
      <c r="G855" s="229">
        <f t="shared" si="571"/>
        <v>0</v>
      </c>
      <c r="H855" s="229">
        <f t="shared" si="571"/>
        <v>0</v>
      </c>
      <c r="I855" s="613"/>
      <c r="J855" s="53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</row>
    <row r="856" spans="1:108" s="2" customFormat="1" ht="15" customHeight="1">
      <c r="A856" s="867" t="s">
        <v>61</v>
      </c>
      <c r="B856" s="868"/>
      <c r="C856" s="869"/>
      <c r="D856" s="147">
        <v>59</v>
      </c>
      <c r="E856" s="137">
        <f t="shared" ref="E856" si="573">E317</f>
        <v>120000</v>
      </c>
      <c r="F856" s="137">
        <f t="shared" ref="F856:H856" si="574">F317</f>
        <v>74000</v>
      </c>
      <c r="G856" s="229">
        <f t="shared" si="574"/>
        <v>50750</v>
      </c>
      <c r="H856" s="229">
        <f t="shared" si="574"/>
        <v>50750</v>
      </c>
      <c r="I856" s="613">
        <f>H856/F856</f>
        <v>0.68581081081081086</v>
      </c>
      <c r="J856" s="53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</row>
    <row r="857" spans="1:108" s="2" customFormat="1" ht="38.25" customHeight="1">
      <c r="A857" s="811" t="s">
        <v>390</v>
      </c>
      <c r="B857" s="812"/>
      <c r="C857" s="813"/>
      <c r="D857" s="142" t="s">
        <v>389</v>
      </c>
      <c r="E857" s="137">
        <f t="shared" ref="E857" si="575">E321</f>
        <v>0</v>
      </c>
      <c r="F857" s="137">
        <f t="shared" ref="F857:H857" si="576">F321</f>
        <v>0</v>
      </c>
      <c r="G857" s="229">
        <f t="shared" si="576"/>
        <v>0</v>
      </c>
      <c r="H857" s="229">
        <f t="shared" si="576"/>
        <v>0</v>
      </c>
      <c r="I857" s="613"/>
      <c r="J857" s="53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</row>
    <row r="858" spans="1:108" s="2" customFormat="1" ht="15" customHeight="1">
      <c r="A858" s="793" t="s">
        <v>444</v>
      </c>
      <c r="B858" s="794"/>
      <c r="C858" s="795"/>
      <c r="D858" s="140" t="s">
        <v>73</v>
      </c>
      <c r="E858" s="139">
        <f t="shared" ref="E858" si="577">E859+E860+E861+E864+E865</f>
        <v>2012000</v>
      </c>
      <c r="F858" s="139">
        <f t="shared" ref="F858:H858" si="578">F859+F860+F861+F864+F865</f>
        <v>1237000</v>
      </c>
      <c r="G858" s="304">
        <f t="shared" si="578"/>
        <v>735134</v>
      </c>
      <c r="H858" s="304">
        <f t="shared" si="578"/>
        <v>660534.52999999991</v>
      </c>
      <c r="I858" s="613">
        <f>H858/F858</f>
        <v>0.5339810266774454</v>
      </c>
      <c r="J858" s="53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</row>
    <row r="859" spans="1:108" ht="15" customHeight="1">
      <c r="A859" s="803" t="s">
        <v>58</v>
      </c>
      <c r="B859" s="804"/>
      <c r="C859" s="805"/>
      <c r="D859" s="147">
        <v>10</v>
      </c>
      <c r="E859" s="137">
        <f t="shared" ref="E859" si="579">E323</f>
        <v>0</v>
      </c>
      <c r="F859" s="137">
        <f t="shared" ref="F859:H860" si="580">F323</f>
        <v>0</v>
      </c>
      <c r="G859" s="229">
        <f t="shared" si="580"/>
        <v>0</v>
      </c>
      <c r="H859" s="229">
        <f t="shared" si="580"/>
        <v>0</v>
      </c>
      <c r="I859" s="613"/>
    </row>
    <row r="860" spans="1:108" ht="15" customHeight="1">
      <c r="A860" s="803" t="s">
        <v>57</v>
      </c>
      <c r="B860" s="804"/>
      <c r="C860" s="805"/>
      <c r="D860" s="147">
        <v>20</v>
      </c>
      <c r="E860" s="137">
        <f t="shared" ref="E860" si="581">E324</f>
        <v>900000</v>
      </c>
      <c r="F860" s="137">
        <f t="shared" si="580"/>
        <v>538000</v>
      </c>
      <c r="G860" s="229">
        <f t="shared" si="580"/>
        <v>308396</v>
      </c>
      <c r="H860" s="229">
        <f t="shared" si="580"/>
        <v>262963.31</v>
      </c>
      <c r="I860" s="613">
        <f>H860/F860</f>
        <v>0.48877938661710035</v>
      </c>
    </row>
    <row r="861" spans="1:108" ht="15" customHeight="1">
      <c r="A861" s="814" t="s">
        <v>419</v>
      </c>
      <c r="B861" s="815"/>
      <c r="C861" s="815"/>
      <c r="D861" s="147">
        <v>57</v>
      </c>
      <c r="E861" s="179">
        <f t="shared" ref="E861" si="582">E862+E863</f>
        <v>696000</v>
      </c>
      <c r="F861" s="179">
        <f t="shared" ref="F861:H861" si="583">F862+F863</f>
        <v>501000</v>
      </c>
      <c r="G861" s="326">
        <f t="shared" si="583"/>
        <v>290238</v>
      </c>
      <c r="H861" s="326">
        <f t="shared" si="583"/>
        <v>262597.40000000002</v>
      </c>
      <c r="I861" s="613">
        <f>H861/F861</f>
        <v>0.52414650698602794</v>
      </c>
    </row>
    <row r="862" spans="1:108" ht="15" customHeight="1">
      <c r="A862" s="862" t="s">
        <v>443</v>
      </c>
      <c r="B862" s="863"/>
      <c r="C862" s="863"/>
      <c r="D862" s="147" t="s">
        <v>417</v>
      </c>
      <c r="E862" s="137">
        <f t="shared" ref="E862" si="584">E330</f>
        <v>694000</v>
      </c>
      <c r="F862" s="137">
        <f t="shared" ref="F862:H864" si="585">F330</f>
        <v>500000</v>
      </c>
      <c r="G862" s="229">
        <f t="shared" si="585"/>
        <v>290238</v>
      </c>
      <c r="H862" s="229">
        <f t="shared" si="585"/>
        <v>262597.40000000002</v>
      </c>
      <c r="I862" s="613">
        <f>H862/F862</f>
        <v>0.52519480000000007</v>
      </c>
    </row>
    <row r="863" spans="1:108" ht="15" customHeight="1">
      <c r="A863" s="862" t="s">
        <v>442</v>
      </c>
      <c r="B863" s="863"/>
      <c r="C863" s="863"/>
      <c r="D863" s="147" t="s">
        <v>415</v>
      </c>
      <c r="E863" s="137">
        <f t="shared" ref="E863" si="586">E331</f>
        <v>2000</v>
      </c>
      <c r="F863" s="137">
        <f t="shared" si="585"/>
        <v>1000</v>
      </c>
      <c r="G863" s="229">
        <f t="shared" si="585"/>
        <v>0</v>
      </c>
      <c r="H863" s="229">
        <f t="shared" si="585"/>
        <v>0</v>
      </c>
      <c r="I863" s="613">
        <f>H863/F863</f>
        <v>0</v>
      </c>
    </row>
    <row r="864" spans="1:108" ht="15" customHeight="1">
      <c r="A864" s="816" t="s">
        <v>61</v>
      </c>
      <c r="B864" s="817"/>
      <c r="C864" s="799"/>
      <c r="D864" s="147">
        <v>59</v>
      </c>
      <c r="E864" s="137">
        <f t="shared" ref="E864" si="587">E332</f>
        <v>416000</v>
      </c>
      <c r="F864" s="137">
        <f t="shared" si="585"/>
        <v>198000</v>
      </c>
      <c r="G864" s="229">
        <f t="shared" si="585"/>
        <v>136500</v>
      </c>
      <c r="H864" s="229">
        <f t="shared" si="585"/>
        <v>136500</v>
      </c>
      <c r="I864" s="613">
        <f>H864/F864</f>
        <v>0.68939393939393945</v>
      </c>
    </row>
    <row r="865" spans="1:31" ht="39.75" customHeight="1">
      <c r="A865" s="811" t="s">
        <v>390</v>
      </c>
      <c r="B865" s="812"/>
      <c r="C865" s="813"/>
      <c r="D865" s="142" t="s">
        <v>389</v>
      </c>
      <c r="E865" s="137">
        <f t="shared" ref="E865" si="588">E336</f>
        <v>0</v>
      </c>
      <c r="F865" s="137">
        <f t="shared" ref="F865:H865" si="589">F336</f>
        <v>0</v>
      </c>
      <c r="G865" s="229">
        <f t="shared" si="589"/>
        <v>0</v>
      </c>
      <c r="H865" s="229">
        <f t="shared" si="589"/>
        <v>-1526.18</v>
      </c>
      <c r="I865" s="613"/>
    </row>
    <row r="866" spans="1:31" ht="15" customHeight="1">
      <c r="A866" s="864" t="s">
        <v>441</v>
      </c>
      <c r="B866" s="865"/>
      <c r="C866" s="866"/>
      <c r="D866" s="140" t="s">
        <v>73</v>
      </c>
      <c r="E866" s="139">
        <f t="shared" ref="E866" si="590">E867+E868+E869</f>
        <v>447000</v>
      </c>
      <c r="F866" s="139">
        <f t="shared" ref="F866:H866" si="591">F867+F868+F869</f>
        <v>259000</v>
      </c>
      <c r="G866" s="304">
        <f t="shared" si="591"/>
        <v>115811</v>
      </c>
      <c r="H866" s="304">
        <f t="shared" si="591"/>
        <v>108525.25</v>
      </c>
      <c r="I866" s="613">
        <f>H866/F866</f>
        <v>0.41901640926640926</v>
      </c>
    </row>
    <row r="867" spans="1:31" ht="15" customHeight="1">
      <c r="A867" s="153" t="s">
        <v>58</v>
      </c>
      <c r="B867" s="152"/>
      <c r="C867" s="152"/>
      <c r="D867" s="147">
        <v>10</v>
      </c>
      <c r="E867" s="137">
        <f t="shared" ref="E867" si="592">E338</f>
        <v>106000</v>
      </c>
      <c r="F867" s="137">
        <f t="shared" ref="F867:H869" si="593">F338</f>
        <v>57000</v>
      </c>
      <c r="G867" s="229">
        <f t="shared" si="593"/>
        <v>40724</v>
      </c>
      <c r="H867" s="229">
        <f t="shared" si="593"/>
        <v>40674</v>
      </c>
      <c r="I867" s="613">
        <f>H867/F867</f>
        <v>0.71357894736842109</v>
      </c>
    </row>
    <row r="868" spans="1:31" ht="15" customHeight="1">
      <c r="A868" s="153" t="s">
        <v>57</v>
      </c>
      <c r="B868" s="152"/>
      <c r="C868" s="152"/>
      <c r="D868" s="147">
        <v>20</v>
      </c>
      <c r="E868" s="137">
        <f t="shared" ref="E868" si="594">E339</f>
        <v>341000</v>
      </c>
      <c r="F868" s="137">
        <f t="shared" si="593"/>
        <v>202000</v>
      </c>
      <c r="G868" s="229">
        <f t="shared" si="593"/>
        <v>75087</v>
      </c>
      <c r="H868" s="229">
        <f t="shared" si="593"/>
        <v>67851.25</v>
      </c>
      <c r="I868" s="613">
        <f>H868/F868</f>
        <v>0.33589727722772278</v>
      </c>
    </row>
    <row r="869" spans="1:31" ht="15" customHeight="1">
      <c r="A869" s="816" t="s">
        <v>61</v>
      </c>
      <c r="B869" s="817"/>
      <c r="C869" s="799"/>
      <c r="D869" s="147">
        <v>59</v>
      </c>
      <c r="E869" s="137">
        <f t="shared" ref="E869" si="595">E340</f>
        <v>0</v>
      </c>
      <c r="F869" s="137">
        <f t="shared" si="593"/>
        <v>0</v>
      </c>
      <c r="G869" s="229">
        <f t="shared" si="593"/>
        <v>0</v>
      </c>
      <c r="H869" s="229">
        <f t="shared" si="593"/>
        <v>0</v>
      </c>
      <c r="I869" s="613"/>
    </row>
    <row r="870" spans="1:31" ht="42.75" customHeight="1">
      <c r="A870" s="811" t="s">
        <v>390</v>
      </c>
      <c r="B870" s="812"/>
      <c r="C870" s="813"/>
      <c r="D870" s="142" t="s">
        <v>389</v>
      </c>
      <c r="E870" s="137">
        <f t="shared" ref="E870" si="596">E350</f>
        <v>0</v>
      </c>
      <c r="F870" s="137">
        <f t="shared" ref="F870:H870" si="597">F350</f>
        <v>0</v>
      </c>
      <c r="G870" s="229">
        <f t="shared" si="597"/>
        <v>0</v>
      </c>
      <c r="H870" s="229">
        <f t="shared" si="597"/>
        <v>0</v>
      </c>
      <c r="I870" s="613"/>
    </row>
    <row r="871" spans="1:31" s="178" customFormat="1" ht="15" customHeight="1">
      <c r="A871" s="793" t="s">
        <v>700</v>
      </c>
      <c r="B871" s="794"/>
      <c r="C871" s="795"/>
      <c r="D871" s="140" t="s">
        <v>73</v>
      </c>
      <c r="E871" s="139">
        <f t="shared" ref="E871" si="598">E872+E873</f>
        <v>460000</v>
      </c>
      <c r="F871" s="139">
        <f t="shared" ref="F871:H871" si="599">F872+F873</f>
        <v>0</v>
      </c>
      <c r="G871" s="304">
        <f t="shared" si="599"/>
        <v>0</v>
      </c>
      <c r="H871" s="304">
        <f t="shared" si="599"/>
        <v>0</v>
      </c>
      <c r="I871" s="613"/>
      <c r="J871" s="53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" customHeight="1">
      <c r="A872" s="803" t="s">
        <v>57</v>
      </c>
      <c r="B872" s="804"/>
      <c r="C872" s="805"/>
      <c r="D872" s="147">
        <v>20</v>
      </c>
      <c r="E872" s="137">
        <f t="shared" ref="E872" si="600">E353</f>
        <v>460000</v>
      </c>
      <c r="F872" s="137">
        <f t="shared" ref="F872:H873" si="601">F353</f>
        <v>0</v>
      </c>
      <c r="G872" s="229">
        <f t="shared" si="601"/>
        <v>0</v>
      </c>
      <c r="H872" s="229">
        <f t="shared" si="601"/>
        <v>0</v>
      </c>
      <c r="I872" s="613"/>
    </row>
    <row r="873" spans="1:31" ht="15" customHeight="1">
      <c r="A873" s="803"/>
      <c r="B873" s="804"/>
      <c r="C873" s="805"/>
      <c r="D873" s="147"/>
      <c r="E873" s="137">
        <f t="shared" ref="E873" si="602">E354</f>
        <v>0</v>
      </c>
      <c r="F873" s="137">
        <f t="shared" si="601"/>
        <v>0</v>
      </c>
      <c r="G873" s="229">
        <f t="shared" si="601"/>
        <v>0</v>
      </c>
      <c r="H873" s="229">
        <f t="shared" si="601"/>
        <v>0</v>
      </c>
      <c r="I873" s="613"/>
    </row>
    <row r="874" spans="1:31" ht="15" customHeight="1">
      <c r="A874" s="793" t="s">
        <v>74</v>
      </c>
      <c r="B874" s="794"/>
      <c r="C874" s="795"/>
      <c r="D874" s="140" t="s">
        <v>73</v>
      </c>
      <c r="E874" s="139">
        <f t="shared" ref="E874:H875" si="603">E875</f>
        <v>1447000</v>
      </c>
      <c r="F874" s="139">
        <f t="shared" si="603"/>
        <v>752000</v>
      </c>
      <c r="G874" s="304">
        <f t="shared" si="603"/>
        <v>436739</v>
      </c>
      <c r="H874" s="304">
        <f t="shared" si="603"/>
        <v>436739</v>
      </c>
      <c r="I874" s="613">
        <f>H874/F874</f>
        <v>0.58076994680851068</v>
      </c>
    </row>
    <row r="875" spans="1:31" ht="15" customHeight="1">
      <c r="A875" s="859" t="s">
        <v>4</v>
      </c>
      <c r="B875" s="860"/>
      <c r="C875" s="861"/>
      <c r="D875" s="147">
        <v>51</v>
      </c>
      <c r="E875" s="135">
        <f t="shared" si="603"/>
        <v>1447000</v>
      </c>
      <c r="F875" s="135">
        <f t="shared" si="603"/>
        <v>752000</v>
      </c>
      <c r="G875" s="233">
        <f t="shared" si="603"/>
        <v>436739</v>
      </c>
      <c r="H875" s="233">
        <f t="shared" si="603"/>
        <v>436739</v>
      </c>
      <c r="I875" s="613">
        <f>H875/F875</f>
        <v>0.58076994680851068</v>
      </c>
    </row>
    <row r="876" spans="1:31" ht="15" customHeight="1">
      <c r="A876" s="177"/>
      <c r="B876" s="848" t="s">
        <v>431</v>
      </c>
      <c r="C876" s="849"/>
      <c r="D876" s="147" t="s">
        <v>399</v>
      </c>
      <c r="E876" s="135">
        <f t="shared" ref="E876" si="604">E357</f>
        <v>1447000</v>
      </c>
      <c r="F876" s="135">
        <f t="shared" ref="F876:H876" si="605">F357</f>
        <v>752000</v>
      </c>
      <c r="G876" s="233">
        <f t="shared" si="605"/>
        <v>436739</v>
      </c>
      <c r="H876" s="233">
        <f t="shared" si="605"/>
        <v>436739</v>
      </c>
      <c r="I876" s="613">
        <f>H876/F876</f>
        <v>0.58076994680851068</v>
      </c>
    </row>
    <row r="877" spans="1:31" s="178" customFormat="1" ht="15" hidden="1" customHeight="1">
      <c r="A877" s="793" t="s">
        <v>440</v>
      </c>
      <c r="B877" s="794"/>
      <c r="C877" s="795"/>
      <c r="D877" s="140" t="s">
        <v>73</v>
      </c>
      <c r="E877" s="139">
        <f t="shared" ref="E877" si="606">E365</f>
        <v>0</v>
      </c>
      <c r="F877" s="139">
        <f t="shared" ref="F877:H882" si="607">F365</f>
        <v>0</v>
      </c>
      <c r="G877" s="304">
        <f t="shared" si="607"/>
        <v>0</v>
      </c>
      <c r="H877" s="304">
        <f t="shared" si="607"/>
        <v>0</v>
      </c>
      <c r="I877" s="613" t="e">
        <f t="shared" ref="I877:I886" si="608">H877/F877</f>
        <v>#DIV/0!</v>
      </c>
      <c r="J877" s="53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" hidden="1" customHeight="1">
      <c r="A878" s="859" t="s">
        <v>4</v>
      </c>
      <c r="B878" s="860"/>
      <c r="C878" s="861"/>
      <c r="D878" s="147">
        <v>51</v>
      </c>
      <c r="E878" s="135">
        <f t="shared" ref="E878" si="609">E366</f>
        <v>0</v>
      </c>
      <c r="F878" s="135">
        <f t="shared" si="607"/>
        <v>0</v>
      </c>
      <c r="G878" s="233">
        <f t="shared" si="607"/>
        <v>0</v>
      </c>
      <c r="H878" s="233">
        <f t="shared" si="607"/>
        <v>0</v>
      </c>
      <c r="I878" s="613" t="e">
        <f t="shared" si="608"/>
        <v>#DIV/0!</v>
      </c>
    </row>
    <row r="879" spans="1:31" ht="15" hidden="1" customHeight="1">
      <c r="A879" s="177"/>
      <c r="B879" s="848" t="s">
        <v>431</v>
      </c>
      <c r="C879" s="849"/>
      <c r="D879" s="147" t="s">
        <v>399</v>
      </c>
      <c r="E879" s="135">
        <f t="shared" ref="E879" si="610">E367</f>
        <v>0</v>
      </c>
      <c r="F879" s="135">
        <f t="shared" si="607"/>
        <v>0</v>
      </c>
      <c r="G879" s="233">
        <f t="shared" si="607"/>
        <v>0</v>
      </c>
      <c r="H879" s="233">
        <f t="shared" si="607"/>
        <v>0</v>
      </c>
      <c r="I879" s="613" t="e">
        <f t="shared" si="608"/>
        <v>#DIV/0!</v>
      </c>
    </row>
    <row r="880" spans="1:31" s="178" customFormat="1" ht="15" hidden="1" customHeight="1">
      <c r="A880" s="793" t="s">
        <v>439</v>
      </c>
      <c r="B880" s="794"/>
      <c r="C880" s="795"/>
      <c r="D880" s="140" t="s">
        <v>73</v>
      </c>
      <c r="E880" s="151">
        <f t="shared" ref="E880" si="611">E368</f>
        <v>0</v>
      </c>
      <c r="F880" s="151">
        <f t="shared" si="607"/>
        <v>0</v>
      </c>
      <c r="G880" s="460">
        <f t="shared" si="607"/>
        <v>0</v>
      </c>
      <c r="H880" s="460">
        <f t="shared" si="607"/>
        <v>0</v>
      </c>
      <c r="I880" s="613" t="e">
        <f t="shared" si="608"/>
        <v>#DIV/0!</v>
      </c>
      <c r="J880" s="53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108" s="178" customFormat="1" ht="15" hidden="1" customHeight="1">
      <c r="A881" s="859" t="s">
        <v>4</v>
      </c>
      <c r="B881" s="860"/>
      <c r="C881" s="861"/>
      <c r="D881" s="147">
        <v>51</v>
      </c>
      <c r="E881" s="137">
        <f t="shared" ref="E881" si="612">E369</f>
        <v>0</v>
      </c>
      <c r="F881" s="137">
        <f t="shared" si="607"/>
        <v>0</v>
      </c>
      <c r="G881" s="229">
        <f t="shared" si="607"/>
        <v>0</v>
      </c>
      <c r="H881" s="229">
        <f t="shared" si="607"/>
        <v>0</v>
      </c>
      <c r="I881" s="613" t="e">
        <f t="shared" si="608"/>
        <v>#DIV/0!</v>
      </c>
      <c r="J881" s="53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108" s="178" customFormat="1" ht="15" hidden="1" customHeight="1">
      <c r="A882" s="177"/>
      <c r="B882" s="848" t="s">
        <v>431</v>
      </c>
      <c r="C882" s="849"/>
      <c r="D882" s="147" t="s">
        <v>399</v>
      </c>
      <c r="E882" s="137">
        <f t="shared" ref="E882" si="613">E370</f>
        <v>0</v>
      </c>
      <c r="F882" s="137">
        <f t="shared" si="607"/>
        <v>0</v>
      </c>
      <c r="G882" s="229">
        <f t="shared" si="607"/>
        <v>0</v>
      </c>
      <c r="H882" s="229">
        <f t="shared" si="607"/>
        <v>0</v>
      </c>
      <c r="I882" s="613" t="e">
        <f t="shared" si="608"/>
        <v>#DIV/0!</v>
      </c>
      <c r="J882" s="53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108" s="178" customFormat="1" ht="15" customHeight="1">
      <c r="A883" s="793" t="s">
        <v>661</v>
      </c>
      <c r="B883" s="794"/>
      <c r="C883" s="795"/>
      <c r="D883" s="140" t="s">
        <v>73</v>
      </c>
      <c r="E883" s="151">
        <f t="shared" ref="E883" si="614">E884+E886</f>
        <v>123000</v>
      </c>
      <c r="F883" s="151">
        <f t="shared" ref="F883:H883" si="615">F884+F886</f>
        <v>77000</v>
      </c>
      <c r="G883" s="151">
        <f t="shared" si="615"/>
        <v>77000</v>
      </c>
      <c r="H883" s="151">
        <f t="shared" si="615"/>
        <v>76332.5</v>
      </c>
      <c r="I883" s="613">
        <f t="shared" si="608"/>
        <v>0.99133116883116879</v>
      </c>
      <c r="J883" s="53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108" s="178" customFormat="1" ht="15" customHeight="1">
      <c r="A884" s="816" t="s">
        <v>61</v>
      </c>
      <c r="B884" s="817"/>
      <c r="C884" s="799"/>
      <c r="D884" s="147">
        <v>59</v>
      </c>
      <c r="E884" s="137">
        <f t="shared" ref="E884" si="616">E372</f>
        <v>0</v>
      </c>
      <c r="F884" s="137">
        <f t="shared" ref="F884:H885" si="617">F372</f>
        <v>0</v>
      </c>
      <c r="G884" s="229">
        <f t="shared" si="617"/>
        <v>0</v>
      </c>
      <c r="H884" s="229">
        <f t="shared" si="617"/>
        <v>0</v>
      </c>
      <c r="I884" s="613"/>
      <c r="J884" s="53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108" s="178" customFormat="1" ht="15" customHeight="1">
      <c r="A885" s="620"/>
      <c r="B885" s="394" t="s">
        <v>662</v>
      </c>
      <c r="C885" s="137"/>
      <c r="D885" s="147">
        <v>59.17</v>
      </c>
      <c r="E885" s="137">
        <f t="shared" ref="E885" si="618">E373</f>
        <v>0</v>
      </c>
      <c r="F885" s="137">
        <f t="shared" si="617"/>
        <v>0</v>
      </c>
      <c r="G885" s="229">
        <f t="shared" si="617"/>
        <v>0</v>
      </c>
      <c r="H885" s="229">
        <f t="shared" si="617"/>
        <v>0</v>
      </c>
      <c r="I885" s="613"/>
      <c r="J885" s="53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108" s="178" customFormat="1" ht="15" customHeight="1">
      <c r="A886" s="620"/>
      <c r="B886" s="394" t="s">
        <v>670</v>
      </c>
      <c r="C886" s="137"/>
      <c r="D886" s="147">
        <v>55</v>
      </c>
      <c r="E886" s="137">
        <f t="shared" ref="E886" si="619">E374</f>
        <v>123000</v>
      </c>
      <c r="F886" s="137">
        <f t="shared" ref="F886:H886" si="620">F374</f>
        <v>77000</v>
      </c>
      <c r="G886" s="229">
        <f t="shared" si="620"/>
        <v>77000</v>
      </c>
      <c r="H886" s="229">
        <f t="shared" si="620"/>
        <v>76332.5</v>
      </c>
      <c r="I886" s="613">
        <f t="shared" si="608"/>
        <v>0.99133116883116879</v>
      </c>
      <c r="J886" s="53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108" ht="15" customHeight="1">
      <c r="A887" s="824" t="s">
        <v>437</v>
      </c>
      <c r="B887" s="825"/>
      <c r="C887" s="825"/>
      <c r="D887" s="159" t="s">
        <v>69</v>
      </c>
      <c r="E887" s="158">
        <f t="shared" ref="E887:H887" si="621">E888</f>
        <v>971000</v>
      </c>
      <c r="F887" s="158">
        <f t="shared" si="621"/>
        <v>971000</v>
      </c>
      <c r="G887" s="446">
        <f t="shared" si="621"/>
        <v>0</v>
      </c>
      <c r="H887" s="446">
        <f t="shared" si="621"/>
        <v>0</v>
      </c>
      <c r="I887" s="613">
        <f>H887/F887</f>
        <v>0</v>
      </c>
    </row>
    <row r="888" spans="1:108" ht="15" customHeight="1">
      <c r="A888" s="816" t="s">
        <v>4</v>
      </c>
      <c r="B888" s="817"/>
      <c r="C888" s="799"/>
      <c r="D888" s="140">
        <v>51</v>
      </c>
      <c r="E888" s="135">
        <f t="shared" ref="E888" si="622">E889+E891+E893</f>
        <v>971000</v>
      </c>
      <c r="F888" s="135">
        <f t="shared" ref="F888:H888" si="623">F889+F891+F893</f>
        <v>971000</v>
      </c>
      <c r="G888" s="233">
        <f t="shared" si="623"/>
        <v>0</v>
      </c>
      <c r="H888" s="233">
        <f t="shared" si="623"/>
        <v>0</v>
      </c>
      <c r="I888" s="613">
        <f>H888/F888</f>
        <v>0</v>
      </c>
    </row>
    <row r="889" spans="1:108" ht="15" customHeight="1">
      <c r="A889" s="153"/>
      <c r="B889" s="858" t="s">
        <v>436</v>
      </c>
      <c r="C889" s="858"/>
      <c r="D889" s="140" t="s">
        <v>44</v>
      </c>
      <c r="E889" s="151">
        <f t="shared" ref="E889" si="624">E383</f>
        <v>971000</v>
      </c>
      <c r="F889" s="151">
        <f t="shared" ref="F889:H889" si="625">F383</f>
        <v>971000</v>
      </c>
      <c r="G889" s="460">
        <f t="shared" si="625"/>
        <v>0</v>
      </c>
      <c r="H889" s="460">
        <f t="shared" si="625"/>
        <v>0</v>
      </c>
      <c r="I889" s="613">
        <f>H889/F889</f>
        <v>0</v>
      </c>
    </row>
    <row r="890" spans="1:108" ht="15" customHeight="1">
      <c r="A890" s="177"/>
      <c r="B890" s="848" t="s">
        <v>431</v>
      </c>
      <c r="C890" s="849"/>
      <c r="D890" s="143" t="s">
        <v>399</v>
      </c>
      <c r="E890" s="137">
        <f t="shared" ref="E890" si="626">E383</f>
        <v>971000</v>
      </c>
      <c r="F890" s="137">
        <f t="shared" ref="F890:H890" si="627">F383</f>
        <v>971000</v>
      </c>
      <c r="G890" s="229">
        <f t="shared" si="627"/>
        <v>0</v>
      </c>
      <c r="H890" s="229">
        <f t="shared" si="627"/>
        <v>0</v>
      </c>
      <c r="I890" s="613">
        <f>H890/F890</f>
        <v>0</v>
      </c>
    </row>
    <row r="891" spans="1:108" ht="15" customHeight="1">
      <c r="A891" s="153"/>
      <c r="B891" s="858" t="s">
        <v>435</v>
      </c>
      <c r="C891" s="858"/>
      <c r="D891" s="140" t="s">
        <v>44</v>
      </c>
      <c r="E891" s="151">
        <f t="shared" ref="E891" si="628">E389</f>
        <v>0</v>
      </c>
      <c r="F891" s="151">
        <f t="shared" ref="F891:H891" si="629">F389</f>
        <v>0</v>
      </c>
      <c r="G891" s="460">
        <f t="shared" si="629"/>
        <v>0</v>
      </c>
      <c r="H891" s="460">
        <f t="shared" si="629"/>
        <v>0</v>
      </c>
      <c r="I891" s="613"/>
    </row>
    <row r="892" spans="1:108" s="2" customFormat="1" ht="15" customHeight="1">
      <c r="A892" s="177"/>
      <c r="B892" s="848" t="s">
        <v>431</v>
      </c>
      <c r="C892" s="849"/>
      <c r="D892" s="143" t="s">
        <v>399</v>
      </c>
      <c r="E892" s="137">
        <f t="shared" ref="E892" si="630">E389</f>
        <v>0</v>
      </c>
      <c r="F892" s="137">
        <f t="shared" ref="F892:H892" si="631">F389</f>
        <v>0</v>
      </c>
      <c r="G892" s="229">
        <f t="shared" si="631"/>
        <v>0</v>
      </c>
      <c r="H892" s="229">
        <f t="shared" si="631"/>
        <v>0</v>
      </c>
      <c r="I892" s="613"/>
      <c r="J892" s="53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</row>
    <row r="893" spans="1:108" s="2" customFormat="1" ht="15" customHeight="1">
      <c r="A893" s="153"/>
      <c r="B893" s="858" t="s">
        <v>65</v>
      </c>
      <c r="C893" s="858"/>
      <c r="D893" s="140" t="s">
        <v>44</v>
      </c>
      <c r="E893" s="151">
        <f t="shared" ref="E893" si="632">E395</f>
        <v>0</v>
      </c>
      <c r="F893" s="151">
        <f t="shared" ref="F893:H893" si="633">F395</f>
        <v>0</v>
      </c>
      <c r="G893" s="460">
        <f t="shared" si="633"/>
        <v>0</v>
      </c>
      <c r="H893" s="460">
        <f t="shared" si="633"/>
        <v>0</v>
      </c>
      <c r="I893" s="613"/>
      <c r="J893" s="53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</row>
    <row r="894" spans="1:108" s="2" customFormat="1" ht="15" customHeight="1">
      <c r="A894" s="177"/>
      <c r="B894" s="848" t="s">
        <v>431</v>
      </c>
      <c r="C894" s="849"/>
      <c r="D894" s="143" t="s">
        <v>399</v>
      </c>
      <c r="E894" s="137">
        <f t="shared" ref="E894" si="634">E395</f>
        <v>0</v>
      </c>
      <c r="F894" s="137">
        <f t="shared" ref="F894:H894" si="635">F395</f>
        <v>0</v>
      </c>
      <c r="G894" s="229">
        <f t="shared" si="635"/>
        <v>0</v>
      </c>
      <c r="H894" s="229">
        <f t="shared" si="635"/>
        <v>0</v>
      </c>
      <c r="I894" s="613"/>
      <c r="J894" s="53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</row>
    <row r="895" spans="1:108" s="2" customFormat="1" ht="15" customHeight="1">
      <c r="A895" s="845" t="s">
        <v>64</v>
      </c>
      <c r="B895" s="846"/>
      <c r="C895" s="847"/>
      <c r="D895" s="159" t="s">
        <v>63</v>
      </c>
      <c r="E895" s="158">
        <f t="shared" ref="E895" si="636">E902+E906+E908+E911</f>
        <v>29346000</v>
      </c>
      <c r="F895" s="158">
        <f t="shared" ref="F895:H895" si="637">F902+F906+F908+F911</f>
        <v>13405000</v>
      </c>
      <c r="G895" s="446">
        <f t="shared" si="637"/>
        <v>11780678</v>
      </c>
      <c r="H895" s="446">
        <f t="shared" si="637"/>
        <v>11705657.07</v>
      </c>
      <c r="I895" s="613">
        <f t="shared" ref="I895:I900" si="638">H895/F895</f>
        <v>0.87323066542334948</v>
      </c>
      <c r="J895" s="53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</row>
    <row r="896" spans="1:108" s="2" customFormat="1" ht="15" customHeight="1">
      <c r="A896" s="803" t="s">
        <v>58</v>
      </c>
      <c r="B896" s="804"/>
      <c r="C896" s="805"/>
      <c r="D896" s="138">
        <v>10</v>
      </c>
      <c r="E896" s="135">
        <f t="shared" ref="E896" si="639">E903</f>
        <v>2939000</v>
      </c>
      <c r="F896" s="135">
        <f t="shared" ref="F896:H897" si="640">F903</f>
        <v>1483000</v>
      </c>
      <c r="G896" s="233">
        <f t="shared" si="640"/>
        <v>1410868</v>
      </c>
      <c r="H896" s="233">
        <f t="shared" si="640"/>
        <v>1410161</v>
      </c>
      <c r="I896" s="613">
        <f t="shared" si="638"/>
        <v>0.95088401888064733</v>
      </c>
      <c r="J896" s="53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</row>
    <row r="897" spans="1:108" s="2" customFormat="1" ht="15" customHeight="1">
      <c r="A897" s="803" t="s">
        <v>57</v>
      </c>
      <c r="B897" s="804"/>
      <c r="C897" s="805"/>
      <c r="D897" s="147">
        <v>20</v>
      </c>
      <c r="E897" s="135">
        <f t="shared" ref="E897" si="641">E904</f>
        <v>1730000</v>
      </c>
      <c r="F897" s="135">
        <f t="shared" si="640"/>
        <v>987000</v>
      </c>
      <c r="G897" s="233">
        <f t="shared" si="640"/>
        <v>605652</v>
      </c>
      <c r="H897" s="233">
        <f t="shared" si="640"/>
        <v>582742.67000000004</v>
      </c>
      <c r="I897" s="613">
        <f t="shared" si="638"/>
        <v>0.59041810536980754</v>
      </c>
      <c r="J897" s="53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</row>
    <row r="898" spans="1:108" s="2" customFormat="1" ht="15" customHeight="1">
      <c r="A898" s="816" t="s">
        <v>4</v>
      </c>
      <c r="B898" s="817"/>
      <c r="C898" s="799"/>
      <c r="D898" s="147">
        <v>51</v>
      </c>
      <c r="E898" s="135">
        <f t="shared" ref="E898" si="642">E907+E909</f>
        <v>13009000</v>
      </c>
      <c r="F898" s="135">
        <f t="shared" ref="F898:H898" si="643">F907+F909</f>
        <v>5547000</v>
      </c>
      <c r="G898" s="233">
        <f t="shared" si="643"/>
        <v>4376167</v>
      </c>
      <c r="H898" s="233">
        <f t="shared" si="643"/>
        <v>4376164.4000000004</v>
      </c>
      <c r="I898" s="613">
        <f t="shared" si="638"/>
        <v>0.78892453578510913</v>
      </c>
      <c r="J898" s="53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</row>
    <row r="899" spans="1:108" s="2" customFormat="1" ht="15" customHeight="1">
      <c r="A899" s="816" t="s">
        <v>61</v>
      </c>
      <c r="B899" s="817"/>
      <c r="C899" s="799"/>
      <c r="D899" s="138">
        <v>59</v>
      </c>
      <c r="E899" s="135">
        <f t="shared" ref="E899" si="644">E912</f>
        <v>11668000</v>
      </c>
      <c r="F899" s="135">
        <f t="shared" ref="F899:H899" si="645">F912</f>
        <v>5388000</v>
      </c>
      <c r="G899" s="233">
        <f t="shared" si="645"/>
        <v>5387991</v>
      </c>
      <c r="H899" s="233">
        <f t="shared" si="645"/>
        <v>5353451</v>
      </c>
      <c r="I899" s="613">
        <f t="shared" si="638"/>
        <v>0.99358778767631772</v>
      </c>
      <c r="J899" s="53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</row>
    <row r="900" spans="1:108" s="2" customFormat="1" ht="15" hidden="1" customHeight="1">
      <c r="A900" s="841"/>
      <c r="B900" s="842"/>
      <c r="C900" s="842"/>
      <c r="D900" s="167"/>
      <c r="E900" s="135"/>
      <c r="F900" s="135"/>
      <c r="G900" s="233"/>
      <c r="H900" s="233"/>
      <c r="I900" s="613" t="e">
        <f t="shared" si="638"/>
        <v>#DIV/0!</v>
      </c>
      <c r="J900" s="53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</row>
    <row r="901" spans="1:108" s="2" customFormat="1" ht="39" customHeight="1">
      <c r="A901" s="811" t="s">
        <v>390</v>
      </c>
      <c r="B901" s="812"/>
      <c r="C901" s="813"/>
      <c r="D901" s="142" t="s">
        <v>389</v>
      </c>
      <c r="E901" s="135">
        <f t="shared" ref="E901" si="646">E910+E915</f>
        <v>0</v>
      </c>
      <c r="F901" s="135">
        <f t="shared" ref="F901:G901" si="647">F910+F915</f>
        <v>0</v>
      </c>
      <c r="G901" s="233">
        <f t="shared" si="647"/>
        <v>0</v>
      </c>
      <c r="H901" s="233">
        <f>H910+H915+H905</f>
        <v>-16862</v>
      </c>
      <c r="I901" s="613"/>
      <c r="J901" s="53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</row>
    <row r="902" spans="1:108" s="2" customFormat="1" ht="15" customHeight="1">
      <c r="A902" s="793" t="s">
        <v>434</v>
      </c>
      <c r="B902" s="794"/>
      <c r="C902" s="795"/>
      <c r="D902" s="140" t="s">
        <v>44</v>
      </c>
      <c r="E902" s="139">
        <f t="shared" ref="E902" si="648">E903+E904</f>
        <v>4669000</v>
      </c>
      <c r="F902" s="139">
        <f t="shared" ref="F902:G902" si="649">F903+F904</f>
        <v>2470000</v>
      </c>
      <c r="G902" s="304">
        <f t="shared" si="649"/>
        <v>2016520</v>
      </c>
      <c r="H902" s="304">
        <f>H903+H904+H905</f>
        <v>1980541.67</v>
      </c>
      <c r="I902" s="613">
        <f t="shared" ref="I902:I909" si="650">H902/F902</f>
        <v>0.80183873279352225</v>
      </c>
      <c r="J902" s="53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</row>
    <row r="903" spans="1:108" s="2" customFormat="1" ht="15" customHeight="1">
      <c r="A903" s="803" t="s">
        <v>58</v>
      </c>
      <c r="B903" s="804"/>
      <c r="C903" s="805"/>
      <c r="D903" s="143">
        <v>10</v>
      </c>
      <c r="E903" s="137">
        <f t="shared" ref="E903" si="651">E416</f>
        <v>2939000</v>
      </c>
      <c r="F903" s="137">
        <f t="shared" ref="F903:H904" si="652">F416</f>
        <v>1483000</v>
      </c>
      <c r="G903" s="229">
        <f t="shared" si="652"/>
        <v>1410868</v>
      </c>
      <c r="H903" s="229">
        <f t="shared" si="652"/>
        <v>1410161</v>
      </c>
      <c r="I903" s="613">
        <f t="shared" si="650"/>
        <v>0.95088401888064733</v>
      </c>
      <c r="J903" s="53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</row>
    <row r="904" spans="1:108" s="2" customFormat="1" ht="15" customHeight="1">
      <c r="A904" s="803" t="s">
        <v>57</v>
      </c>
      <c r="B904" s="804"/>
      <c r="C904" s="805"/>
      <c r="D904" s="143">
        <v>20</v>
      </c>
      <c r="E904" s="137">
        <f t="shared" ref="E904" si="653">E417</f>
        <v>1730000</v>
      </c>
      <c r="F904" s="137">
        <f t="shared" si="652"/>
        <v>987000</v>
      </c>
      <c r="G904" s="229">
        <f t="shared" si="652"/>
        <v>605652</v>
      </c>
      <c r="H904" s="229">
        <f t="shared" si="652"/>
        <v>582742.67000000004</v>
      </c>
      <c r="I904" s="613">
        <f t="shared" si="650"/>
        <v>0.59041810536980754</v>
      </c>
      <c r="J904" s="53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</row>
    <row r="905" spans="1:108" s="2" customFormat="1" ht="24" customHeight="1">
      <c r="A905" s="811" t="s">
        <v>390</v>
      </c>
      <c r="B905" s="812"/>
      <c r="C905" s="813"/>
      <c r="D905" s="142" t="s">
        <v>389</v>
      </c>
      <c r="E905" s="137"/>
      <c r="F905" s="137"/>
      <c r="G905" s="229"/>
      <c r="H905" s="229">
        <f>H429</f>
        <v>-12362</v>
      </c>
      <c r="I905" s="613"/>
      <c r="J905" s="53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</row>
    <row r="906" spans="1:108" s="2" customFormat="1" ht="15" customHeight="1">
      <c r="A906" s="855" t="s">
        <v>433</v>
      </c>
      <c r="B906" s="856"/>
      <c r="C906" s="857"/>
      <c r="D906" s="176">
        <v>51</v>
      </c>
      <c r="E906" s="151">
        <f t="shared" ref="E906:H906" si="654">E907</f>
        <v>5166000</v>
      </c>
      <c r="F906" s="151">
        <f t="shared" si="654"/>
        <v>2718000</v>
      </c>
      <c r="G906" s="460">
        <f t="shared" si="654"/>
        <v>2216265</v>
      </c>
      <c r="H906" s="460">
        <f t="shared" si="654"/>
        <v>2216262.4</v>
      </c>
      <c r="I906" s="613">
        <f t="shared" si="650"/>
        <v>0.81540191317144961</v>
      </c>
      <c r="J906" s="53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</row>
    <row r="907" spans="1:108" s="2" customFormat="1" ht="15" customHeight="1">
      <c r="A907" s="177"/>
      <c r="B907" s="848" t="s">
        <v>431</v>
      </c>
      <c r="C907" s="849"/>
      <c r="D907" s="143" t="s">
        <v>399</v>
      </c>
      <c r="E907" s="137">
        <f t="shared" ref="E907" si="655">E431</f>
        <v>5166000</v>
      </c>
      <c r="F907" s="137">
        <f t="shared" ref="F907:H907" si="656">F431</f>
        <v>2718000</v>
      </c>
      <c r="G907" s="229">
        <f t="shared" si="656"/>
        <v>2216265</v>
      </c>
      <c r="H907" s="229">
        <f t="shared" si="656"/>
        <v>2216262.4</v>
      </c>
      <c r="I907" s="613">
        <f t="shared" si="650"/>
        <v>0.81540191317144961</v>
      </c>
      <c r="J907" s="53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</row>
    <row r="908" spans="1:108" s="2" customFormat="1" ht="15" customHeight="1">
      <c r="A908" s="850" t="s">
        <v>432</v>
      </c>
      <c r="B908" s="851"/>
      <c r="C908" s="852"/>
      <c r="D908" s="176">
        <v>51</v>
      </c>
      <c r="E908" s="151">
        <f t="shared" ref="E908" si="657">E909+E910</f>
        <v>7843000</v>
      </c>
      <c r="F908" s="151">
        <f t="shared" ref="F908:H908" si="658">F909+F910</f>
        <v>2829000</v>
      </c>
      <c r="G908" s="460">
        <f t="shared" si="658"/>
        <v>2159902</v>
      </c>
      <c r="H908" s="460">
        <f t="shared" si="658"/>
        <v>2159902</v>
      </c>
      <c r="I908" s="613">
        <f t="shared" si="650"/>
        <v>0.76348603746907029</v>
      </c>
      <c r="J908" s="53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</row>
    <row r="909" spans="1:108" s="2" customFormat="1" ht="15" customHeight="1">
      <c r="A909" s="177"/>
      <c r="B909" s="848" t="s">
        <v>431</v>
      </c>
      <c r="C909" s="849"/>
      <c r="D909" s="143" t="s">
        <v>399</v>
      </c>
      <c r="E909" s="137">
        <f t="shared" ref="E909" si="659">E441</f>
        <v>7843000</v>
      </c>
      <c r="F909" s="137">
        <f t="shared" ref="F909:H909" si="660">F441</f>
        <v>2829000</v>
      </c>
      <c r="G909" s="229">
        <f t="shared" si="660"/>
        <v>2159902</v>
      </c>
      <c r="H909" s="229">
        <f t="shared" si="660"/>
        <v>2159902</v>
      </c>
      <c r="I909" s="613">
        <f t="shared" si="650"/>
        <v>0.76348603746907029</v>
      </c>
      <c r="J909" s="53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</row>
    <row r="910" spans="1:108" s="2" customFormat="1" ht="39" customHeight="1">
      <c r="A910" s="811" t="s">
        <v>390</v>
      </c>
      <c r="B910" s="812"/>
      <c r="C910" s="813"/>
      <c r="D910" s="142" t="s">
        <v>389</v>
      </c>
      <c r="E910" s="137">
        <f t="shared" ref="E910" si="661">E450</f>
        <v>0</v>
      </c>
      <c r="F910" s="137">
        <f t="shared" ref="F910:H910" si="662">F450</f>
        <v>0</v>
      </c>
      <c r="G910" s="229">
        <f t="shared" si="662"/>
        <v>0</v>
      </c>
      <c r="H910" s="229">
        <f t="shared" si="662"/>
        <v>0</v>
      </c>
      <c r="I910" s="613"/>
      <c r="J910" s="53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</row>
    <row r="911" spans="1:108" s="2" customFormat="1" ht="15" customHeight="1">
      <c r="A911" s="850" t="s">
        <v>430</v>
      </c>
      <c r="B911" s="851"/>
      <c r="C911" s="852"/>
      <c r="D911" s="176">
        <v>59</v>
      </c>
      <c r="E911" s="139">
        <f t="shared" ref="E911" si="663">E913+E914+E915</f>
        <v>11668000</v>
      </c>
      <c r="F911" s="139">
        <f t="shared" ref="F911:H911" si="664">F913+F914+F915</f>
        <v>5388000</v>
      </c>
      <c r="G911" s="304">
        <f t="shared" si="664"/>
        <v>5387991</v>
      </c>
      <c r="H911" s="304">
        <f t="shared" si="664"/>
        <v>5348951</v>
      </c>
      <c r="I911" s="613">
        <f>H911/F911</f>
        <v>0.9927525983667409</v>
      </c>
      <c r="J911" s="53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</row>
    <row r="912" spans="1:108" s="2" customFormat="1" ht="15" customHeight="1">
      <c r="A912" s="816" t="s">
        <v>429</v>
      </c>
      <c r="B912" s="817"/>
      <c r="C912" s="799"/>
      <c r="D912" s="138">
        <v>59</v>
      </c>
      <c r="E912" s="175">
        <f t="shared" ref="E912" si="665">E913+E914</f>
        <v>11668000</v>
      </c>
      <c r="F912" s="175">
        <f t="shared" ref="F912:H912" si="666">F913+F914</f>
        <v>5388000</v>
      </c>
      <c r="G912" s="448">
        <f t="shared" si="666"/>
        <v>5387991</v>
      </c>
      <c r="H912" s="448">
        <f t="shared" si="666"/>
        <v>5353451</v>
      </c>
      <c r="I912" s="613">
        <f>H912/F912</f>
        <v>0.99358778767631772</v>
      </c>
      <c r="J912" s="53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</row>
    <row r="913" spans="1:108" s="2" customFormat="1" ht="15" customHeight="1">
      <c r="A913" s="141"/>
      <c r="B913" s="853" t="s">
        <v>428</v>
      </c>
      <c r="C913" s="854"/>
      <c r="D913" s="138" t="s">
        <v>427</v>
      </c>
      <c r="E913" s="137">
        <f t="shared" ref="E913" si="667">E453</f>
        <v>1200000</v>
      </c>
      <c r="F913" s="137">
        <f t="shared" ref="F913:H914" si="668">F453</f>
        <v>400000</v>
      </c>
      <c r="G913" s="229">
        <f t="shared" si="668"/>
        <v>400000</v>
      </c>
      <c r="H913" s="229">
        <f t="shared" si="668"/>
        <v>375000</v>
      </c>
      <c r="I913" s="613">
        <f>H913/F913</f>
        <v>0.9375</v>
      </c>
      <c r="J913" s="53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</row>
    <row r="914" spans="1:108" s="2" customFormat="1" ht="15" customHeight="1">
      <c r="A914" s="141"/>
      <c r="B914" s="853" t="s">
        <v>426</v>
      </c>
      <c r="C914" s="854"/>
      <c r="D914" s="138" t="s">
        <v>425</v>
      </c>
      <c r="E914" s="137">
        <f t="shared" ref="E914" si="669">E454</f>
        <v>10468000</v>
      </c>
      <c r="F914" s="137">
        <f t="shared" si="668"/>
        <v>4988000</v>
      </c>
      <c r="G914" s="229">
        <f t="shared" si="668"/>
        <v>4987991</v>
      </c>
      <c r="H914" s="229">
        <f t="shared" si="668"/>
        <v>4978451</v>
      </c>
      <c r="I914" s="613">
        <f>H914/F914</f>
        <v>0.99808560545308744</v>
      </c>
      <c r="J914" s="53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</row>
    <row r="915" spans="1:108" s="2" customFormat="1" ht="39.75" customHeight="1">
      <c r="A915" s="811" t="s">
        <v>390</v>
      </c>
      <c r="B915" s="812"/>
      <c r="C915" s="813"/>
      <c r="D915" s="142" t="s">
        <v>389</v>
      </c>
      <c r="E915" s="137">
        <f t="shared" ref="E915" si="670">E456</f>
        <v>0</v>
      </c>
      <c r="F915" s="137">
        <f t="shared" ref="F915:H915" si="671">F456</f>
        <v>0</v>
      </c>
      <c r="G915" s="229">
        <f t="shared" si="671"/>
        <v>0</v>
      </c>
      <c r="H915" s="229">
        <f t="shared" si="671"/>
        <v>-4500</v>
      </c>
      <c r="I915" s="613"/>
      <c r="J915" s="53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</row>
    <row r="916" spans="1:108" s="2" customFormat="1" ht="15" customHeight="1">
      <c r="A916" s="845" t="s">
        <v>424</v>
      </c>
      <c r="B916" s="846"/>
      <c r="C916" s="847"/>
      <c r="D916" s="159" t="s">
        <v>50</v>
      </c>
      <c r="E916" s="158">
        <f>E925+E958+E962</f>
        <v>67111000</v>
      </c>
      <c r="F916" s="158">
        <f>F925+F958+F962</f>
        <v>34567000</v>
      </c>
      <c r="G916" s="446">
        <f>G925+G958+G962</f>
        <v>27254611</v>
      </c>
      <c r="H916" s="446">
        <f>H925+H958+H962</f>
        <v>25737367.620000001</v>
      </c>
      <c r="I916" s="613">
        <f t="shared" ref="I916:I923" si="672">H916/F916</f>
        <v>0.74456468944368914</v>
      </c>
      <c r="J916" s="53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</row>
    <row r="917" spans="1:108" s="2" customFormat="1" ht="15" customHeight="1">
      <c r="A917" s="153" t="s">
        <v>58</v>
      </c>
      <c r="B917" s="152"/>
      <c r="C917" s="152"/>
      <c r="D917" s="138">
        <v>10</v>
      </c>
      <c r="E917" s="135">
        <f t="shared" ref="E917" si="673">E926</f>
        <v>45343000</v>
      </c>
      <c r="F917" s="135">
        <f t="shared" ref="F917:H917" si="674">F926</f>
        <v>22280000</v>
      </c>
      <c r="G917" s="233">
        <f t="shared" si="674"/>
        <v>20288921</v>
      </c>
      <c r="H917" s="233">
        <f t="shared" si="674"/>
        <v>19658748</v>
      </c>
      <c r="I917" s="613">
        <f t="shared" si="672"/>
        <v>0.8823495511669659</v>
      </c>
      <c r="J917" s="53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</row>
    <row r="918" spans="1:108" s="2" customFormat="1" ht="15" customHeight="1">
      <c r="A918" s="803" t="s">
        <v>57</v>
      </c>
      <c r="B918" s="804"/>
      <c r="C918" s="805"/>
      <c r="D918" s="147">
        <v>20</v>
      </c>
      <c r="E918" s="135">
        <f>E927+E959</f>
        <v>17223000</v>
      </c>
      <c r="F918" s="135">
        <f>F927+F959</f>
        <v>9594000</v>
      </c>
      <c r="G918" s="233">
        <f>G927+G959</f>
        <v>5557548</v>
      </c>
      <c r="H918" s="233">
        <f>H927+H959</f>
        <v>5297939.13</v>
      </c>
      <c r="I918" s="613">
        <f t="shared" si="672"/>
        <v>0.55221379299562223</v>
      </c>
      <c r="J918" s="53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</row>
    <row r="919" spans="1:108" s="2" customFormat="1" ht="15" customHeight="1">
      <c r="A919" s="816" t="s">
        <v>4</v>
      </c>
      <c r="B919" s="817"/>
      <c r="C919" s="799"/>
      <c r="D919" s="138" t="s">
        <v>49</v>
      </c>
      <c r="E919" s="135">
        <f t="shared" ref="E919" si="675">E928+E963+E960</f>
        <v>3521000</v>
      </c>
      <c r="F919" s="135">
        <f t="shared" ref="F919:H919" si="676">F928+F963+F960</f>
        <v>2153000</v>
      </c>
      <c r="G919" s="229">
        <f t="shared" si="676"/>
        <v>1125066</v>
      </c>
      <c r="H919" s="229">
        <f t="shared" si="676"/>
        <v>933995.82000000007</v>
      </c>
      <c r="I919" s="613">
        <f t="shared" si="672"/>
        <v>0.43381134231305157</v>
      </c>
      <c r="J919" s="53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</row>
    <row r="920" spans="1:108" s="2" customFormat="1" ht="15" hidden="1" customHeight="1">
      <c r="A920" s="166"/>
      <c r="B920" s="833"/>
      <c r="C920" s="833"/>
      <c r="D920" s="147"/>
      <c r="E920" s="135"/>
      <c r="F920" s="135"/>
      <c r="G920" s="233"/>
      <c r="H920" s="233"/>
      <c r="I920" s="613" t="e">
        <f t="shared" si="672"/>
        <v>#DIV/0!</v>
      </c>
      <c r="J920" s="53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</row>
    <row r="921" spans="1:108" s="2" customFormat="1" ht="15" customHeight="1">
      <c r="A921" s="814" t="s">
        <v>419</v>
      </c>
      <c r="B921" s="815"/>
      <c r="C921" s="815"/>
      <c r="D921" s="138">
        <v>57</v>
      </c>
      <c r="E921" s="135">
        <f t="shared" ref="E921" si="677">E931</f>
        <v>604000</v>
      </c>
      <c r="F921" s="135">
        <f t="shared" ref="F921:H921" si="678">F931</f>
        <v>320000</v>
      </c>
      <c r="G921" s="233">
        <f t="shared" si="678"/>
        <v>128076</v>
      </c>
      <c r="H921" s="233">
        <f t="shared" si="678"/>
        <v>124965.41</v>
      </c>
      <c r="I921" s="613">
        <f t="shared" si="672"/>
        <v>0.39051690625000002</v>
      </c>
      <c r="J921" s="53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</row>
    <row r="922" spans="1:108" s="2" customFormat="1" ht="15" hidden="1" customHeight="1">
      <c r="A922" s="814" t="s">
        <v>419</v>
      </c>
      <c r="B922" s="815"/>
      <c r="C922" s="815"/>
      <c r="D922" s="167"/>
      <c r="E922" s="137"/>
      <c r="F922" s="137"/>
      <c r="G922" s="229"/>
      <c r="H922" s="229"/>
      <c r="I922" s="613" t="e">
        <f t="shared" si="672"/>
        <v>#DIV/0!</v>
      </c>
      <c r="J922" s="53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</row>
    <row r="923" spans="1:108" s="2" customFormat="1" ht="15" customHeight="1">
      <c r="A923" s="814" t="s">
        <v>413</v>
      </c>
      <c r="B923" s="815"/>
      <c r="C923" s="815"/>
      <c r="D923" s="167" t="s">
        <v>423</v>
      </c>
      <c r="E923" s="137">
        <f t="shared" ref="E923" si="679">E934</f>
        <v>420000</v>
      </c>
      <c r="F923" s="137">
        <f t="shared" ref="F923:H923" si="680">F934</f>
        <v>220000</v>
      </c>
      <c r="G923" s="229">
        <f t="shared" si="680"/>
        <v>155000</v>
      </c>
      <c r="H923" s="229">
        <f t="shared" si="680"/>
        <v>150032</v>
      </c>
      <c r="I923" s="613">
        <f t="shared" si="672"/>
        <v>0.68196363636363633</v>
      </c>
      <c r="J923" s="53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</row>
    <row r="924" spans="1:108" s="2" customFormat="1" ht="41.25" customHeight="1">
      <c r="A924" s="811" t="s">
        <v>390</v>
      </c>
      <c r="B924" s="812"/>
      <c r="C924" s="813"/>
      <c r="D924" s="142" t="s">
        <v>389</v>
      </c>
      <c r="E924" s="137">
        <f t="shared" ref="E924" si="681">E941</f>
        <v>0</v>
      </c>
      <c r="F924" s="137">
        <f t="shared" ref="F924:H924" si="682">F941</f>
        <v>0</v>
      </c>
      <c r="G924" s="229">
        <f t="shared" si="682"/>
        <v>0</v>
      </c>
      <c r="H924" s="229">
        <f t="shared" si="682"/>
        <v>-428312.74</v>
      </c>
      <c r="I924" s="613"/>
      <c r="J924" s="53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</row>
    <row r="925" spans="1:108" s="2" customFormat="1" ht="26.25" customHeight="1">
      <c r="A925" s="843" t="s">
        <v>48</v>
      </c>
      <c r="B925" s="844"/>
      <c r="C925" s="844"/>
      <c r="D925" s="140" t="s">
        <v>44</v>
      </c>
      <c r="E925" s="139">
        <f t="shared" ref="E925" si="683">E926+E927+E928+E931+E934+E941</f>
        <v>58320000</v>
      </c>
      <c r="F925" s="139">
        <f t="shared" ref="F925:H925" si="684">F926+F927+F928+F931+F934+F941</f>
        <v>30558000</v>
      </c>
      <c r="G925" s="304">
        <f t="shared" si="684"/>
        <v>24151179</v>
      </c>
      <c r="H925" s="304">
        <f t="shared" si="684"/>
        <v>22885905.460000001</v>
      </c>
      <c r="I925" s="616">
        <f>H925/F925</f>
        <v>0.74893335493160551</v>
      </c>
      <c r="J925" s="53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</row>
    <row r="926" spans="1:108" s="2" customFormat="1" ht="15" customHeight="1">
      <c r="A926" s="803" t="s">
        <v>58</v>
      </c>
      <c r="B926" s="804"/>
      <c r="C926" s="805"/>
      <c r="D926" s="147">
        <v>10</v>
      </c>
      <c r="E926" s="137">
        <f t="shared" ref="E926" si="685">E943+E953</f>
        <v>45343000</v>
      </c>
      <c r="F926" s="137">
        <f t="shared" ref="F926:H927" si="686">F943+F953</f>
        <v>22280000</v>
      </c>
      <c r="G926" s="229">
        <f t="shared" si="686"/>
        <v>20288921</v>
      </c>
      <c r="H926" s="229">
        <f t="shared" si="686"/>
        <v>19658748</v>
      </c>
      <c r="I926" s="613">
        <f>H926/F926</f>
        <v>0.8823495511669659</v>
      </c>
      <c r="J926" s="53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</row>
    <row r="927" spans="1:108" s="2" customFormat="1" ht="15" customHeight="1">
      <c r="A927" s="803" t="s">
        <v>57</v>
      </c>
      <c r="B927" s="804"/>
      <c r="C927" s="805"/>
      <c r="D927" s="147">
        <v>20</v>
      </c>
      <c r="E927" s="137">
        <f t="shared" ref="E927" si="687">E944+E954</f>
        <v>10223000</v>
      </c>
      <c r="F927" s="137">
        <f t="shared" si="686"/>
        <v>6588000</v>
      </c>
      <c r="G927" s="229">
        <f t="shared" si="686"/>
        <v>3382116</v>
      </c>
      <c r="H927" s="229">
        <f t="shared" si="686"/>
        <v>3246476.97</v>
      </c>
      <c r="I927" s="613">
        <f>H927/F927</f>
        <v>0.49278642531876143</v>
      </c>
      <c r="J927" s="53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</row>
    <row r="928" spans="1:108" s="2" customFormat="1" ht="15" customHeight="1">
      <c r="A928" s="816" t="s">
        <v>4</v>
      </c>
      <c r="B928" s="817"/>
      <c r="C928" s="799"/>
      <c r="D928" s="147">
        <v>51</v>
      </c>
      <c r="E928" s="135">
        <f t="shared" ref="E928:H928" si="688">E929</f>
        <v>1730000</v>
      </c>
      <c r="F928" s="135">
        <f t="shared" si="688"/>
        <v>1150000</v>
      </c>
      <c r="G928" s="233">
        <f t="shared" si="688"/>
        <v>197066</v>
      </c>
      <c r="H928" s="233">
        <f t="shared" si="688"/>
        <v>133995.82</v>
      </c>
      <c r="I928" s="613">
        <f>H928/F928</f>
        <v>0.1165181043478261</v>
      </c>
      <c r="J928" s="53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</row>
    <row r="929" spans="1:108" s="2" customFormat="1" ht="15" customHeight="1">
      <c r="A929" s="577"/>
      <c r="B929" s="833" t="s">
        <v>414</v>
      </c>
      <c r="C929" s="833"/>
      <c r="D929" s="147" t="s">
        <v>399</v>
      </c>
      <c r="E929" s="137">
        <f t="shared" ref="E929" si="689">E473</f>
        <v>1730000</v>
      </c>
      <c r="F929" s="137">
        <f t="shared" ref="F929:H929" si="690">F473</f>
        <v>1150000</v>
      </c>
      <c r="G929" s="229">
        <f t="shared" si="690"/>
        <v>197066</v>
      </c>
      <c r="H929" s="229">
        <f t="shared" si="690"/>
        <v>133995.82</v>
      </c>
      <c r="I929" s="613">
        <f>H929/F929</f>
        <v>0.1165181043478261</v>
      </c>
      <c r="J929" s="53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</row>
    <row r="930" spans="1:108" s="2" customFormat="1" ht="15" customHeight="1">
      <c r="A930" s="577"/>
      <c r="B930" s="174" t="s">
        <v>422</v>
      </c>
      <c r="C930" s="173"/>
      <c r="D930" s="147"/>
      <c r="E930" s="137"/>
      <c r="F930" s="137"/>
      <c r="G930" s="229"/>
      <c r="H930" s="229"/>
      <c r="I930" s="613"/>
      <c r="J930" s="53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</row>
    <row r="931" spans="1:108" s="2" customFormat="1" ht="15" customHeight="1">
      <c r="A931" s="814" t="s">
        <v>419</v>
      </c>
      <c r="B931" s="815"/>
      <c r="C931" s="815"/>
      <c r="D931" s="138">
        <v>57</v>
      </c>
      <c r="E931" s="135">
        <f t="shared" ref="E931" si="691">E932+E933</f>
        <v>604000</v>
      </c>
      <c r="F931" s="135">
        <f t="shared" ref="F931:H931" si="692">F932+F933</f>
        <v>320000</v>
      </c>
      <c r="G931" s="233">
        <f t="shared" si="692"/>
        <v>128076</v>
      </c>
      <c r="H931" s="233">
        <f t="shared" si="692"/>
        <v>124965.41</v>
      </c>
      <c r="I931" s="613">
        <f>H931/F931</f>
        <v>0.39051690625000002</v>
      </c>
      <c r="J931" s="53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</row>
    <row r="932" spans="1:108" s="2" customFormat="1" ht="15" customHeight="1">
      <c r="A932" s="166"/>
      <c r="B932" s="839" t="s">
        <v>418</v>
      </c>
      <c r="C932" s="840"/>
      <c r="D932" s="138" t="s">
        <v>417</v>
      </c>
      <c r="E932" s="137">
        <f t="shared" ref="E932" si="693">E948</f>
        <v>404000</v>
      </c>
      <c r="F932" s="137">
        <f t="shared" ref="F932:H933" si="694">F948</f>
        <v>220000</v>
      </c>
      <c r="G932" s="229">
        <f t="shared" si="694"/>
        <v>123284</v>
      </c>
      <c r="H932" s="229">
        <f t="shared" si="694"/>
        <v>120238</v>
      </c>
      <c r="I932" s="613">
        <f>H932/F932</f>
        <v>0.5465363636363636</v>
      </c>
      <c r="J932" s="53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</row>
    <row r="933" spans="1:108" s="2" customFormat="1" ht="15" customHeight="1">
      <c r="A933" s="166"/>
      <c r="B933" s="839" t="s">
        <v>416</v>
      </c>
      <c r="C933" s="840"/>
      <c r="D933" s="138" t="s">
        <v>415</v>
      </c>
      <c r="E933" s="137">
        <f t="shared" ref="E933" si="695">E949</f>
        <v>200000</v>
      </c>
      <c r="F933" s="137">
        <f t="shared" si="694"/>
        <v>100000</v>
      </c>
      <c r="G933" s="229">
        <f t="shared" si="694"/>
        <v>4792</v>
      </c>
      <c r="H933" s="229">
        <f t="shared" si="694"/>
        <v>4727.41</v>
      </c>
      <c r="I933" s="613">
        <f>H933/F933</f>
        <v>4.7274099999999999E-2</v>
      </c>
      <c r="J933" s="53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</row>
    <row r="934" spans="1:108" s="2" customFormat="1" ht="15" customHeight="1">
      <c r="A934" s="814" t="s">
        <v>413</v>
      </c>
      <c r="B934" s="815"/>
      <c r="C934" s="815"/>
      <c r="D934" s="147">
        <v>59</v>
      </c>
      <c r="E934" s="137">
        <f t="shared" ref="E934" si="696">E466</f>
        <v>420000</v>
      </c>
      <c r="F934" s="137">
        <f t="shared" ref="F934:H934" si="697">F466</f>
        <v>220000</v>
      </c>
      <c r="G934" s="229">
        <f t="shared" si="697"/>
        <v>155000</v>
      </c>
      <c r="H934" s="229">
        <f t="shared" si="697"/>
        <v>150032</v>
      </c>
      <c r="I934" s="613">
        <f t="shared" ref="I934:I940" si="698">H934/F934</f>
        <v>0.68196363636363633</v>
      </c>
      <c r="J934" s="53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</row>
    <row r="935" spans="1:108" s="2" customFormat="1" ht="15" hidden="1" customHeight="1">
      <c r="A935" s="575"/>
      <c r="B935" s="815" t="s">
        <v>421</v>
      </c>
      <c r="C935" s="815"/>
      <c r="D935" s="147" t="s">
        <v>420</v>
      </c>
      <c r="E935" s="137"/>
      <c r="F935" s="137"/>
      <c r="G935" s="229"/>
      <c r="H935" s="229"/>
      <c r="I935" s="613" t="e">
        <f t="shared" si="698"/>
        <v>#DIV/0!</v>
      </c>
      <c r="J935" s="53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</row>
    <row r="936" spans="1:108" s="2" customFormat="1" ht="15" hidden="1" customHeight="1">
      <c r="A936" s="145"/>
      <c r="B936" s="144"/>
      <c r="C936" s="146"/>
      <c r="D936" s="147"/>
      <c r="E936" s="137"/>
      <c r="F936" s="137"/>
      <c r="G936" s="229"/>
      <c r="H936" s="229"/>
      <c r="I936" s="613" t="e">
        <f t="shared" si="698"/>
        <v>#DIV/0!</v>
      </c>
      <c r="J936" s="53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</row>
    <row r="937" spans="1:108" s="2" customFormat="1" ht="15" hidden="1" customHeight="1">
      <c r="A937" s="172"/>
      <c r="B937" s="171"/>
      <c r="C937" s="170"/>
      <c r="D937" s="167"/>
      <c r="E937" s="137"/>
      <c r="F937" s="137"/>
      <c r="G937" s="229"/>
      <c r="H937" s="229"/>
      <c r="I937" s="613" t="e">
        <f t="shared" si="698"/>
        <v>#DIV/0!</v>
      </c>
      <c r="J937" s="53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</row>
    <row r="938" spans="1:108" s="2" customFormat="1" ht="15" hidden="1" customHeight="1">
      <c r="A938" s="831"/>
      <c r="B938" s="832"/>
      <c r="C938" s="832"/>
      <c r="D938" s="147"/>
      <c r="E938" s="135"/>
      <c r="F938" s="135"/>
      <c r="G938" s="233"/>
      <c r="H938" s="233"/>
      <c r="I938" s="613" t="e">
        <f t="shared" si="698"/>
        <v>#DIV/0!</v>
      </c>
      <c r="J938" s="53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</row>
    <row r="939" spans="1:108" s="2" customFormat="1" ht="15" hidden="1" customHeight="1">
      <c r="A939" s="166"/>
      <c r="B939" s="169"/>
      <c r="C939" s="168"/>
      <c r="D939" s="147"/>
      <c r="E939" s="137"/>
      <c r="F939" s="137"/>
      <c r="G939" s="229"/>
      <c r="H939" s="229"/>
      <c r="I939" s="613" t="e">
        <f t="shared" si="698"/>
        <v>#DIV/0!</v>
      </c>
      <c r="J939" s="53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</row>
    <row r="940" spans="1:108" s="2" customFormat="1" ht="15" hidden="1" customHeight="1">
      <c r="A940" s="841"/>
      <c r="B940" s="842"/>
      <c r="C940" s="842"/>
      <c r="D940" s="167"/>
      <c r="E940" s="137"/>
      <c r="F940" s="137"/>
      <c r="G940" s="229"/>
      <c r="H940" s="229"/>
      <c r="I940" s="613" t="e">
        <f t="shared" si="698"/>
        <v>#DIV/0!</v>
      </c>
      <c r="J940" s="53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</row>
    <row r="941" spans="1:108" s="2" customFormat="1" ht="40.5" customHeight="1">
      <c r="A941" s="811" t="s">
        <v>390</v>
      </c>
      <c r="B941" s="812"/>
      <c r="C941" s="813"/>
      <c r="D941" s="142" t="s">
        <v>389</v>
      </c>
      <c r="E941" s="137">
        <f t="shared" ref="E941" si="699">E485</f>
        <v>0</v>
      </c>
      <c r="F941" s="137">
        <f t="shared" ref="F941:H941" si="700">F485</f>
        <v>0</v>
      </c>
      <c r="G941" s="229">
        <f t="shared" si="700"/>
        <v>0</v>
      </c>
      <c r="H941" s="229">
        <f t="shared" si="700"/>
        <v>-428312.74</v>
      </c>
      <c r="I941" s="613"/>
      <c r="J941" s="53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</row>
    <row r="942" spans="1:108" s="2" customFormat="1" ht="15" customHeight="1">
      <c r="A942" s="834" t="s">
        <v>46</v>
      </c>
      <c r="B942" s="835"/>
      <c r="C942" s="835"/>
      <c r="D942" s="165" t="s">
        <v>44</v>
      </c>
      <c r="E942" s="164">
        <f t="shared" ref="E942" si="701">E943+E944+E945+E947+E950+E951</f>
        <v>40079000</v>
      </c>
      <c r="F942" s="164">
        <f t="shared" ref="F942:H942" si="702">F943+F944+F945+F947+F950+F951</f>
        <v>20727000</v>
      </c>
      <c r="G942" s="468">
        <f t="shared" si="702"/>
        <v>17665551</v>
      </c>
      <c r="H942" s="468">
        <f t="shared" si="702"/>
        <v>16579644.240000002</v>
      </c>
      <c r="I942" s="613">
        <f>H942/F942</f>
        <v>0.79990564191634106</v>
      </c>
      <c r="J942" s="53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</row>
    <row r="943" spans="1:108" s="2" customFormat="1" ht="15" customHeight="1">
      <c r="A943" s="803" t="s">
        <v>58</v>
      </c>
      <c r="B943" s="804"/>
      <c r="C943" s="805"/>
      <c r="D943" s="147">
        <v>10</v>
      </c>
      <c r="E943" s="137">
        <f t="shared" ref="E943" si="703">E488</f>
        <v>33444000</v>
      </c>
      <c r="F943" s="137">
        <f t="shared" ref="F943:H946" si="704">F488</f>
        <v>16332000</v>
      </c>
      <c r="G943" s="229">
        <f t="shared" si="704"/>
        <v>15308500</v>
      </c>
      <c r="H943" s="229">
        <f t="shared" si="704"/>
        <v>14772115</v>
      </c>
      <c r="I943" s="613">
        <f>H943/F943</f>
        <v>0.90448903992162621</v>
      </c>
      <c r="J943" s="53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</row>
    <row r="944" spans="1:108" s="2" customFormat="1" ht="15" customHeight="1">
      <c r="A944" s="803" t="s">
        <v>57</v>
      </c>
      <c r="B944" s="804"/>
      <c r="C944" s="805"/>
      <c r="D944" s="147">
        <v>20</v>
      </c>
      <c r="E944" s="137">
        <f t="shared" ref="E944" si="705">E489</f>
        <v>5839000</v>
      </c>
      <c r="F944" s="137">
        <f t="shared" si="704"/>
        <v>3975000</v>
      </c>
      <c r="G944" s="229">
        <f t="shared" si="704"/>
        <v>2167975</v>
      </c>
      <c r="H944" s="229">
        <f t="shared" si="704"/>
        <v>2047699.37</v>
      </c>
      <c r="I944" s="613">
        <f>H944/F944</f>
        <v>0.51514449559748432</v>
      </c>
      <c r="J944" s="53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</row>
    <row r="945" spans="1:108" s="2" customFormat="1" ht="15" customHeight="1">
      <c r="A945" s="816" t="s">
        <v>4</v>
      </c>
      <c r="B945" s="817"/>
      <c r="C945" s="799"/>
      <c r="D945" s="147">
        <v>51</v>
      </c>
      <c r="E945" s="137">
        <f t="shared" ref="E945" si="706">E490</f>
        <v>0</v>
      </c>
      <c r="F945" s="137">
        <f t="shared" si="704"/>
        <v>0</v>
      </c>
      <c r="G945" s="229">
        <f t="shared" si="704"/>
        <v>0</v>
      </c>
      <c r="H945" s="229">
        <f t="shared" si="704"/>
        <v>0</v>
      </c>
      <c r="I945" s="613"/>
      <c r="J945" s="53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</row>
    <row r="946" spans="1:108" s="2" customFormat="1" ht="15" customHeight="1">
      <c r="A946" s="577"/>
      <c r="B946" s="833" t="s">
        <v>414</v>
      </c>
      <c r="C946" s="833"/>
      <c r="D946" s="147" t="s">
        <v>399</v>
      </c>
      <c r="E946" s="137">
        <f t="shared" ref="E946" si="707">E491</f>
        <v>0</v>
      </c>
      <c r="F946" s="137">
        <f t="shared" si="704"/>
        <v>0</v>
      </c>
      <c r="G946" s="229">
        <f t="shared" si="704"/>
        <v>0</v>
      </c>
      <c r="H946" s="229">
        <f t="shared" si="704"/>
        <v>0</v>
      </c>
      <c r="I946" s="613"/>
      <c r="J946" s="53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</row>
    <row r="947" spans="1:108" s="2" customFormat="1" ht="15" customHeight="1">
      <c r="A947" s="814" t="s">
        <v>419</v>
      </c>
      <c r="B947" s="815"/>
      <c r="C947" s="815"/>
      <c r="D947" s="138">
        <v>57</v>
      </c>
      <c r="E947" s="137">
        <f t="shared" ref="E947" si="708">E496</f>
        <v>604000</v>
      </c>
      <c r="F947" s="137">
        <f t="shared" ref="F947:H950" si="709">F496</f>
        <v>320000</v>
      </c>
      <c r="G947" s="229">
        <f t="shared" si="709"/>
        <v>128076</v>
      </c>
      <c r="H947" s="229">
        <f t="shared" si="709"/>
        <v>124965.41</v>
      </c>
      <c r="I947" s="613">
        <f>H947/F947</f>
        <v>0.39051690625000002</v>
      </c>
      <c r="J947" s="53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</row>
    <row r="948" spans="1:108" s="2" customFormat="1" ht="15" customHeight="1">
      <c r="A948" s="166"/>
      <c r="B948" s="839" t="s">
        <v>418</v>
      </c>
      <c r="C948" s="840"/>
      <c r="D948" s="138" t="s">
        <v>417</v>
      </c>
      <c r="E948" s="137">
        <f t="shared" ref="E948" si="710">E497</f>
        <v>404000</v>
      </c>
      <c r="F948" s="137">
        <f t="shared" si="709"/>
        <v>220000</v>
      </c>
      <c r="G948" s="229">
        <f t="shared" si="709"/>
        <v>123284</v>
      </c>
      <c r="H948" s="229">
        <f t="shared" si="709"/>
        <v>120238</v>
      </c>
      <c r="I948" s="613">
        <f>H948/F948</f>
        <v>0.5465363636363636</v>
      </c>
      <c r="J948" s="53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</row>
    <row r="949" spans="1:108" s="2" customFormat="1" ht="15" customHeight="1">
      <c r="A949" s="166"/>
      <c r="B949" s="839" t="s">
        <v>416</v>
      </c>
      <c r="C949" s="840"/>
      <c r="D949" s="138" t="s">
        <v>415</v>
      </c>
      <c r="E949" s="137">
        <f t="shared" ref="E949" si="711">E498</f>
        <v>200000</v>
      </c>
      <c r="F949" s="137">
        <f t="shared" si="709"/>
        <v>100000</v>
      </c>
      <c r="G949" s="229">
        <f t="shared" si="709"/>
        <v>4792</v>
      </c>
      <c r="H949" s="229">
        <f t="shared" si="709"/>
        <v>4727.41</v>
      </c>
      <c r="I949" s="613"/>
      <c r="J949" s="53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</row>
    <row r="950" spans="1:108" s="2" customFormat="1" ht="15" customHeight="1">
      <c r="A950" s="814" t="s">
        <v>413</v>
      </c>
      <c r="B950" s="815"/>
      <c r="C950" s="815"/>
      <c r="D950" s="147">
        <v>59</v>
      </c>
      <c r="E950" s="137">
        <f t="shared" ref="E950" si="712">E499</f>
        <v>192000</v>
      </c>
      <c r="F950" s="137">
        <f t="shared" si="709"/>
        <v>100000</v>
      </c>
      <c r="G950" s="229">
        <f t="shared" si="709"/>
        <v>61000</v>
      </c>
      <c r="H950" s="229">
        <f t="shared" si="709"/>
        <v>57406</v>
      </c>
      <c r="I950" s="613">
        <f>H950/F950</f>
        <v>0.57406000000000001</v>
      </c>
      <c r="J950" s="53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</row>
    <row r="951" spans="1:108" s="2" customFormat="1" ht="37.5" customHeight="1">
      <c r="A951" s="811" t="s">
        <v>390</v>
      </c>
      <c r="B951" s="812"/>
      <c r="C951" s="813"/>
      <c r="D951" s="142" t="s">
        <v>389</v>
      </c>
      <c r="E951" s="137">
        <f t="shared" ref="E951" si="713">E503</f>
        <v>0</v>
      </c>
      <c r="F951" s="137">
        <f t="shared" ref="F951:H951" si="714">F503</f>
        <v>0</v>
      </c>
      <c r="G951" s="229">
        <f t="shared" si="714"/>
        <v>0</v>
      </c>
      <c r="H951" s="229">
        <f t="shared" si="714"/>
        <v>-422541.54</v>
      </c>
      <c r="I951" s="613"/>
      <c r="J951" s="53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</row>
    <row r="952" spans="1:108" s="2" customFormat="1" ht="15" customHeight="1">
      <c r="A952" s="834" t="s">
        <v>45</v>
      </c>
      <c r="B952" s="835"/>
      <c r="C952" s="835"/>
      <c r="D952" s="165" t="s">
        <v>44</v>
      </c>
      <c r="E952" s="164">
        <f t="shared" ref="E952" si="715">E953+E954+E956+E955</f>
        <v>18241000</v>
      </c>
      <c r="F952" s="164">
        <f t="shared" ref="F952:G952" si="716">F953+F954+F956+F955</f>
        <v>9831000</v>
      </c>
      <c r="G952" s="468">
        <f t="shared" si="716"/>
        <v>6485628</v>
      </c>
      <c r="H952" s="468">
        <f>H953+H954+H956+H955+H957</f>
        <v>6306261.2199999997</v>
      </c>
      <c r="I952" s="613">
        <f>H952/F952</f>
        <v>0.64146691282677237</v>
      </c>
      <c r="J952" s="53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</row>
    <row r="953" spans="1:108" s="2" customFormat="1" ht="15" customHeight="1">
      <c r="A953" s="803" t="s">
        <v>58</v>
      </c>
      <c r="B953" s="804"/>
      <c r="C953" s="805"/>
      <c r="D953" s="147">
        <v>10</v>
      </c>
      <c r="E953" s="137">
        <f t="shared" ref="E953" si="717">E506</f>
        <v>11899000</v>
      </c>
      <c r="F953" s="137">
        <f t="shared" ref="F953:H956" si="718">F506</f>
        <v>5948000</v>
      </c>
      <c r="G953" s="229">
        <f t="shared" si="718"/>
        <v>4980421</v>
      </c>
      <c r="H953" s="229">
        <f t="shared" si="718"/>
        <v>4886633</v>
      </c>
      <c r="I953" s="613">
        <f>H953/F953</f>
        <v>0.82155901143241428</v>
      </c>
      <c r="J953" s="53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</row>
    <row r="954" spans="1:108" s="2" customFormat="1" ht="15" customHeight="1">
      <c r="A954" s="803" t="s">
        <v>57</v>
      </c>
      <c r="B954" s="804"/>
      <c r="C954" s="805"/>
      <c r="D954" s="147">
        <v>20</v>
      </c>
      <c r="E954" s="137">
        <f t="shared" ref="E954" si="719">E507</f>
        <v>4384000</v>
      </c>
      <c r="F954" s="137">
        <f t="shared" si="718"/>
        <v>2613000</v>
      </c>
      <c r="G954" s="229">
        <f t="shared" si="718"/>
        <v>1214141</v>
      </c>
      <c r="H954" s="229">
        <f t="shared" si="718"/>
        <v>1198777.6000000001</v>
      </c>
      <c r="I954" s="613">
        <f>H954/F954</f>
        <v>0.45877443551473407</v>
      </c>
      <c r="J954" s="53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</row>
    <row r="955" spans="1:108" s="2" customFormat="1" ht="15" customHeight="1">
      <c r="A955" s="836" t="s">
        <v>414</v>
      </c>
      <c r="B955" s="837"/>
      <c r="C955" s="838"/>
      <c r="D955" s="147">
        <v>51</v>
      </c>
      <c r="E955" s="137">
        <f t="shared" ref="E955" si="720">E508</f>
        <v>1730000</v>
      </c>
      <c r="F955" s="137">
        <f t="shared" si="718"/>
        <v>1150000</v>
      </c>
      <c r="G955" s="229">
        <f t="shared" si="718"/>
        <v>197066</v>
      </c>
      <c r="H955" s="229">
        <f t="shared" si="718"/>
        <v>133995.82</v>
      </c>
      <c r="I955" s="613">
        <f>H955/F955</f>
        <v>0.1165181043478261</v>
      </c>
      <c r="J955" s="53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</row>
    <row r="956" spans="1:108" s="2" customFormat="1" ht="15" customHeight="1">
      <c r="A956" s="814" t="s">
        <v>413</v>
      </c>
      <c r="B956" s="815"/>
      <c r="C956" s="815"/>
      <c r="D956" s="147">
        <v>59</v>
      </c>
      <c r="E956" s="137">
        <f t="shared" ref="E956" si="721">E509</f>
        <v>228000</v>
      </c>
      <c r="F956" s="137">
        <f t="shared" si="718"/>
        <v>120000</v>
      </c>
      <c r="G956" s="229">
        <f t="shared" si="718"/>
        <v>94000</v>
      </c>
      <c r="H956" s="229">
        <f t="shared" si="718"/>
        <v>92626</v>
      </c>
      <c r="I956" s="613">
        <f>H956/F956</f>
        <v>0.77188333333333337</v>
      </c>
      <c r="J956" s="53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</row>
    <row r="957" spans="1:108" s="2" customFormat="1" ht="15" customHeight="1">
      <c r="A957" s="811" t="s">
        <v>390</v>
      </c>
      <c r="B957" s="812"/>
      <c r="C957" s="813"/>
      <c r="D957" s="142" t="s">
        <v>389</v>
      </c>
      <c r="E957" s="137"/>
      <c r="F957" s="137"/>
      <c r="G957" s="229"/>
      <c r="H957" s="229">
        <f>H513</f>
        <v>-5771.2</v>
      </c>
      <c r="I957" s="613"/>
      <c r="J957" s="53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</row>
    <row r="958" spans="1:108" s="2" customFormat="1" ht="15" customHeight="1">
      <c r="A958" s="829" t="s">
        <v>412</v>
      </c>
      <c r="B958" s="830"/>
      <c r="C958" s="830"/>
      <c r="D958" s="163" t="s">
        <v>411</v>
      </c>
      <c r="E958" s="151">
        <f t="shared" ref="E958" si="722">E959+E960+E961</f>
        <v>7000000</v>
      </c>
      <c r="F958" s="151">
        <f t="shared" ref="F958:H958" si="723">F959+F960+F961</f>
        <v>3006000</v>
      </c>
      <c r="G958" s="304">
        <f t="shared" si="723"/>
        <v>2175432</v>
      </c>
      <c r="H958" s="304">
        <f t="shared" si="723"/>
        <v>2051462.16</v>
      </c>
      <c r="I958" s="613">
        <f t="shared" ref="I958:I971" si="724">H958/F958</f>
        <v>0.6824558083832335</v>
      </c>
      <c r="J958" s="53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</row>
    <row r="959" spans="1:108" s="2" customFormat="1" ht="15" customHeight="1">
      <c r="A959" s="803" t="s">
        <v>57</v>
      </c>
      <c r="B959" s="804"/>
      <c r="C959" s="805"/>
      <c r="D959" s="147">
        <v>20</v>
      </c>
      <c r="E959" s="137">
        <f>E515</f>
        <v>7000000</v>
      </c>
      <c r="F959" s="137">
        <f>F515</f>
        <v>3006000</v>
      </c>
      <c r="G959" s="229">
        <f>G515</f>
        <v>2175432</v>
      </c>
      <c r="H959" s="229">
        <f>H515</f>
        <v>2051462.16</v>
      </c>
      <c r="I959" s="613">
        <f t="shared" si="724"/>
        <v>0.6824558083832335</v>
      </c>
      <c r="J959" s="53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</row>
    <row r="960" spans="1:108" s="2" customFormat="1" ht="15" customHeight="1">
      <c r="A960" s="816" t="s">
        <v>4</v>
      </c>
      <c r="B960" s="817"/>
      <c r="C960" s="799"/>
      <c r="D960" s="147">
        <v>51</v>
      </c>
      <c r="E960" s="137">
        <f t="shared" ref="E960" si="725">E516</f>
        <v>0</v>
      </c>
      <c r="F960" s="137">
        <f t="shared" ref="F960:H960" si="726">F516</f>
        <v>0</v>
      </c>
      <c r="G960" s="137">
        <f t="shared" si="726"/>
        <v>0</v>
      </c>
      <c r="H960" s="137">
        <f t="shared" si="726"/>
        <v>0</v>
      </c>
      <c r="I960" s="613"/>
      <c r="J960" s="53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</row>
    <row r="961" spans="1:108" s="2" customFormat="1" ht="15" customHeight="1">
      <c r="A961" s="816" t="s">
        <v>405</v>
      </c>
      <c r="B961" s="817"/>
      <c r="C961" s="799"/>
      <c r="D961" s="147">
        <v>55</v>
      </c>
      <c r="E961" s="137">
        <f t="shared" ref="E961" si="727">E517</f>
        <v>0</v>
      </c>
      <c r="F961" s="137">
        <f t="shared" ref="F961:H961" si="728">F517</f>
        <v>0</v>
      </c>
      <c r="G961" s="137">
        <f t="shared" si="728"/>
        <v>0</v>
      </c>
      <c r="H961" s="137">
        <f t="shared" si="728"/>
        <v>0</v>
      </c>
      <c r="I961" s="613"/>
      <c r="J961" s="53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</row>
    <row r="962" spans="1:108" s="2" customFormat="1" ht="15" customHeight="1">
      <c r="A962" s="831" t="s">
        <v>410</v>
      </c>
      <c r="B962" s="832"/>
      <c r="C962" s="832"/>
      <c r="D962" s="140">
        <v>51</v>
      </c>
      <c r="E962" s="139">
        <f t="shared" ref="E962:H962" si="729">E963</f>
        <v>1791000</v>
      </c>
      <c r="F962" s="139">
        <f t="shared" si="729"/>
        <v>1003000</v>
      </c>
      <c r="G962" s="304">
        <f t="shared" si="729"/>
        <v>928000</v>
      </c>
      <c r="H962" s="304">
        <f t="shared" si="729"/>
        <v>800000</v>
      </c>
      <c r="I962" s="613">
        <f t="shared" si="724"/>
        <v>0.79760717846460616</v>
      </c>
      <c r="J962" s="53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</row>
    <row r="963" spans="1:108" s="2" customFormat="1" ht="15" customHeight="1">
      <c r="A963" s="816" t="s">
        <v>4</v>
      </c>
      <c r="B963" s="817"/>
      <c r="C963" s="799"/>
      <c r="D963" s="147">
        <v>51</v>
      </c>
      <c r="E963" s="137">
        <f>E520</f>
        <v>1791000</v>
      </c>
      <c r="F963" s="137">
        <f>F520</f>
        <v>1003000</v>
      </c>
      <c r="G963" s="229">
        <f>G520</f>
        <v>928000</v>
      </c>
      <c r="H963" s="229">
        <f>H520</f>
        <v>800000</v>
      </c>
      <c r="I963" s="613">
        <f t="shared" si="724"/>
        <v>0.79760717846460616</v>
      </c>
      <c r="J963" s="53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</row>
    <row r="964" spans="1:108" s="2" customFormat="1" ht="15" customHeight="1">
      <c r="A964" s="577"/>
      <c r="B964" s="833" t="s">
        <v>409</v>
      </c>
      <c r="C964" s="833"/>
      <c r="D964" s="147" t="s">
        <v>399</v>
      </c>
      <c r="E964" s="135">
        <f>E520</f>
        <v>1791000</v>
      </c>
      <c r="F964" s="135">
        <f>F520</f>
        <v>1003000</v>
      </c>
      <c r="G964" s="233">
        <f>G520</f>
        <v>928000</v>
      </c>
      <c r="H964" s="233">
        <f>H520</f>
        <v>800000</v>
      </c>
      <c r="I964" s="613">
        <f t="shared" si="724"/>
        <v>0.79760717846460616</v>
      </c>
      <c r="J964" s="53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</row>
    <row r="965" spans="1:108" s="2" customFormat="1" ht="15" customHeight="1">
      <c r="A965" s="820" t="s">
        <v>38</v>
      </c>
      <c r="B965" s="821"/>
      <c r="C965" s="821"/>
      <c r="D965" s="159" t="s">
        <v>37</v>
      </c>
      <c r="E965" s="158">
        <f t="shared" ref="E965:H966" si="730">E966</f>
        <v>4826000</v>
      </c>
      <c r="F965" s="158">
        <f t="shared" si="730"/>
        <v>1766000</v>
      </c>
      <c r="G965" s="446">
        <f t="shared" si="730"/>
        <v>1718089</v>
      </c>
      <c r="H965" s="446">
        <f t="shared" si="730"/>
        <v>1718087.01</v>
      </c>
      <c r="I965" s="613">
        <f t="shared" si="724"/>
        <v>0.97286920158550394</v>
      </c>
      <c r="J965" s="53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</row>
    <row r="966" spans="1:108" s="2" customFormat="1" ht="15" customHeight="1">
      <c r="A966" s="822" t="s">
        <v>408</v>
      </c>
      <c r="B966" s="823"/>
      <c r="C966" s="823"/>
      <c r="D966" s="162" t="s">
        <v>407</v>
      </c>
      <c r="E966" s="151">
        <f t="shared" si="730"/>
        <v>4826000</v>
      </c>
      <c r="F966" s="151">
        <f t="shared" si="730"/>
        <v>1766000</v>
      </c>
      <c r="G966" s="460">
        <f t="shared" si="730"/>
        <v>1718089</v>
      </c>
      <c r="H966" s="460">
        <f t="shared" si="730"/>
        <v>1718087.01</v>
      </c>
      <c r="I966" s="613">
        <f t="shared" si="724"/>
        <v>0.97286920158550394</v>
      </c>
      <c r="J966" s="53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</row>
    <row r="967" spans="1:108" s="2" customFormat="1" ht="15" customHeight="1">
      <c r="A967" s="816" t="s">
        <v>405</v>
      </c>
      <c r="B967" s="817"/>
      <c r="C967" s="799"/>
      <c r="D967" s="147">
        <v>55</v>
      </c>
      <c r="E967" s="137">
        <f>E526</f>
        <v>4826000</v>
      </c>
      <c r="F967" s="137">
        <f>F526</f>
        <v>1766000</v>
      </c>
      <c r="G967" s="229">
        <f>G526</f>
        <v>1718089</v>
      </c>
      <c r="H967" s="229">
        <f>H526</f>
        <v>1718087.01</v>
      </c>
      <c r="I967" s="613">
        <f t="shared" si="724"/>
        <v>0.97286920158550394</v>
      </c>
      <c r="J967" s="53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</row>
    <row r="968" spans="1:108" s="2" customFormat="1" ht="15" customHeight="1">
      <c r="A968" s="820" t="s">
        <v>663</v>
      </c>
      <c r="B968" s="821"/>
      <c r="C968" s="821"/>
      <c r="D968" s="161" t="s">
        <v>406</v>
      </c>
      <c r="E968" s="158">
        <f t="shared" ref="E968" si="731">E970+E969</f>
        <v>6490000</v>
      </c>
      <c r="F968" s="158">
        <f t="shared" ref="F968:H968" si="732">F970+F969</f>
        <v>3750000</v>
      </c>
      <c r="G968" s="446">
        <f t="shared" si="732"/>
        <v>2130830</v>
      </c>
      <c r="H968" s="446">
        <f t="shared" si="732"/>
        <v>1835734.19</v>
      </c>
      <c r="I968" s="613">
        <f t="shared" si="724"/>
        <v>0.48952911733333332</v>
      </c>
      <c r="J968" s="53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</row>
    <row r="969" spans="1:108" s="2" customFormat="1" ht="15" customHeight="1">
      <c r="A969" s="803" t="s">
        <v>57</v>
      </c>
      <c r="B969" s="804"/>
      <c r="C969" s="805"/>
      <c r="D969" s="160">
        <v>20</v>
      </c>
      <c r="E969" s="137">
        <f>E537</f>
        <v>1811000</v>
      </c>
      <c r="F969" s="137">
        <f>F537</f>
        <v>1411000</v>
      </c>
      <c r="G969" s="229">
        <f>G537</f>
        <v>0</v>
      </c>
      <c r="H969" s="229">
        <f>H537</f>
        <v>0</v>
      </c>
      <c r="I969" s="613"/>
      <c r="J969" s="53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</row>
    <row r="970" spans="1:108" s="2" customFormat="1" ht="15" customHeight="1">
      <c r="A970" s="826" t="s">
        <v>405</v>
      </c>
      <c r="B970" s="827"/>
      <c r="C970" s="828"/>
      <c r="D970" s="160">
        <v>55</v>
      </c>
      <c r="E970" s="137">
        <f t="shared" ref="E970:H970" si="733">E971</f>
        <v>4679000</v>
      </c>
      <c r="F970" s="137">
        <f t="shared" si="733"/>
        <v>2339000</v>
      </c>
      <c r="G970" s="229">
        <f t="shared" si="733"/>
        <v>2130830</v>
      </c>
      <c r="H970" s="229">
        <f t="shared" si="733"/>
        <v>1835734.19</v>
      </c>
      <c r="I970" s="613">
        <f t="shared" si="724"/>
        <v>0.78483719110731076</v>
      </c>
      <c r="J970" s="53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</row>
    <row r="971" spans="1:108" s="2" customFormat="1" ht="15" customHeight="1">
      <c r="A971" s="551"/>
      <c r="B971" s="818" t="s">
        <v>404</v>
      </c>
      <c r="C971" s="819"/>
      <c r="D971" s="160" t="s">
        <v>403</v>
      </c>
      <c r="E971" s="137">
        <f>E539</f>
        <v>4679000</v>
      </c>
      <c r="F971" s="137">
        <f>F539</f>
        <v>2339000</v>
      </c>
      <c r="G971" s="229">
        <f>G539</f>
        <v>2130830</v>
      </c>
      <c r="H971" s="229">
        <f>H539</f>
        <v>1835734.19</v>
      </c>
      <c r="I971" s="613">
        <f t="shared" si="724"/>
        <v>0.78483719110731076</v>
      </c>
      <c r="J971" s="53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</row>
    <row r="972" spans="1:108" s="2" customFormat="1" ht="15" customHeight="1">
      <c r="A972" s="820" t="s">
        <v>402</v>
      </c>
      <c r="B972" s="821"/>
      <c r="C972" s="821"/>
      <c r="D972" s="159" t="s">
        <v>35</v>
      </c>
      <c r="E972" s="158">
        <f t="shared" ref="E972:H973" si="734">E973</f>
        <v>0</v>
      </c>
      <c r="F972" s="158">
        <f t="shared" si="734"/>
        <v>0</v>
      </c>
      <c r="G972" s="446">
        <f t="shared" si="734"/>
        <v>0</v>
      </c>
      <c r="H972" s="446">
        <f t="shared" si="734"/>
        <v>0</v>
      </c>
      <c r="I972" s="613"/>
      <c r="J972" s="53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</row>
    <row r="973" spans="1:108" s="2" customFormat="1" ht="15" customHeight="1">
      <c r="A973" s="822" t="s">
        <v>401</v>
      </c>
      <c r="B973" s="823"/>
      <c r="C973" s="823"/>
      <c r="D973" s="140" t="s">
        <v>400</v>
      </c>
      <c r="E973" s="151">
        <f t="shared" si="734"/>
        <v>0</v>
      </c>
      <c r="F973" s="151">
        <f t="shared" si="734"/>
        <v>0</v>
      </c>
      <c r="G973" s="460">
        <f t="shared" si="734"/>
        <v>0</v>
      </c>
      <c r="H973" s="460">
        <f t="shared" si="734"/>
        <v>0</v>
      </c>
      <c r="I973" s="613"/>
      <c r="J973" s="53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</row>
    <row r="974" spans="1:108" s="2" customFormat="1" ht="15" customHeight="1">
      <c r="A974" s="816" t="s">
        <v>4</v>
      </c>
      <c r="B974" s="817"/>
      <c r="C974" s="799"/>
      <c r="D974" s="147" t="s">
        <v>399</v>
      </c>
      <c r="E974" s="137">
        <f>E544</f>
        <v>0</v>
      </c>
      <c r="F974" s="137">
        <f>F544</f>
        <v>0</v>
      </c>
      <c r="G974" s="229">
        <f>G544</f>
        <v>0</v>
      </c>
      <c r="H974" s="229">
        <f>H544</f>
        <v>0</v>
      </c>
      <c r="I974" s="613"/>
      <c r="J974" s="53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</row>
    <row r="975" spans="1:108" s="2" customFormat="1" ht="15" customHeight="1">
      <c r="A975" s="824" t="s">
        <v>30</v>
      </c>
      <c r="B975" s="825"/>
      <c r="C975" s="825"/>
      <c r="D975" s="159" t="s">
        <v>29</v>
      </c>
      <c r="E975" s="158">
        <f>E990+E1001+E1006</f>
        <v>36807000</v>
      </c>
      <c r="F975" s="158">
        <f>F990+F1001+F1006</f>
        <v>15266000</v>
      </c>
      <c r="G975" s="446">
        <f>G990+G1001+G1006</f>
        <v>9541805</v>
      </c>
      <c r="H975" s="446">
        <f>H990+H1001+H1006</f>
        <v>7544462.0299999993</v>
      </c>
      <c r="I975" s="613">
        <f t="shared" ref="I975:I987" si="735">H975/F975</f>
        <v>0.49420031638936196</v>
      </c>
      <c r="J975" s="53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</row>
    <row r="976" spans="1:108" s="2" customFormat="1" ht="15" customHeight="1">
      <c r="A976" s="803" t="s">
        <v>57</v>
      </c>
      <c r="B976" s="804"/>
      <c r="C976" s="805"/>
      <c r="D976" s="147">
        <v>20</v>
      </c>
      <c r="E976" s="135">
        <f>E991+E1002</f>
        <v>28842000</v>
      </c>
      <c r="F976" s="135">
        <f>F991+F1002</f>
        <v>11923000</v>
      </c>
      <c r="G976" s="233">
        <f t="shared" ref="G976:H976" si="736">G991+G1002</f>
        <v>6291805</v>
      </c>
      <c r="H976" s="233">
        <f t="shared" si="736"/>
        <v>4496345.0199999996</v>
      </c>
      <c r="I976" s="613">
        <f t="shared" si="735"/>
        <v>0.37711524113058792</v>
      </c>
      <c r="J976" s="53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</row>
    <row r="977" spans="1:108" s="2" customFormat="1" ht="15" customHeight="1">
      <c r="A977" s="796" t="s">
        <v>10</v>
      </c>
      <c r="B977" s="797"/>
      <c r="C977" s="797"/>
      <c r="D977" s="138" t="s">
        <v>9</v>
      </c>
      <c r="E977" s="135">
        <f t="shared" ref="E977" si="737">E1004</f>
        <v>0</v>
      </c>
      <c r="F977" s="135">
        <f t="shared" ref="F977:H977" si="738">F1004</f>
        <v>0</v>
      </c>
      <c r="G977" s="233">
        <f t="shared" si="738"/>
        <v>0</v>
      </c>
      <c r="H977" s="233">
        <f t="shared" si="738"/>
        <v>0</v>
      </c>
      <c r="I977" s="613"/>
      <c r="J977" s="53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</row>
    <row r="978" spans="1:108" s="2" customFormat="1" ht="15" customHeight="1">
      <c r="A978" s="816" t="s">
        <v>4</v>
      </c>
      <c r="B978" s="817"/>
      <c r="C978" s="799"/>
      <c r="D978" s="138" t="s">
        <v>49</v>
      </c>
      <c r="E978" s="135">
        <f t="shared" ref="E978" si="739">E1008</f>
        <v>6058000</v>
      </c>
      <c r="F978" s="135">
        <f t="shared" ref="F978:H978" si="740">F1008</f>
        <v>2600000</v>
      </c>
      <c r="G978" s="233">
        <f t="shared" si="740"/>
        <v>2600000</v>
      </c>
      <c r="H978" s="233">
        <f t="shared" si="740"/>
        <v>2600000</v>
      </c>
      <c r="I978" s="613">
        <f t="shared" si="735"/>
        <v>1</v>
      </c>
      <c r="J978" s="53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</row>
    <row r="979" spans="1:108" s="2" customFormat="1" ht="15" hidden="1" customHeight="1">
      <c r="A979" s="577"/>
      <c r="B979" s="150"/>
      <c r="C979" s="144" t="s">
        <v>396</v>
      </c>
      <c r="D979" s="138"/>
      <c r="E979" s="135"/>
      <c r="F979" s="135"/>
      <c r="G979" s="233"/>
      <c r="H979" s="233"/>
      <c r="I979" s="613" t="e">
        <f t="shared" si="735"/>
        <v>#DIV/0!</v>
      </c>
      <c r="J979" s="53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</row>
    <row r="980" spans="1:108" s="2" customFormat="1" ht="15" hidden="1" customHeight="1">
      <c r="A980" s="577" t="s">
        <v>398</v>
      </c>
      <c r="B980" s="149"/>
      <c r="C980" s="578"/>
      <c r="D980" s="138">
        <v>56</v>
      </c>
      <c r="E980" s="135"/>
      <c r="F980" s="135"/>
      <c r="G980" s="233"/>
      <c r="H980" s="233"/>
      <c r="I980" s="613" t="e">
        <f t="shared" si="735"/>
        <v>#DIV/0!</v>
      </c>
      <c r="J980" s="53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</row>
    <row r="981" spans="1:108" s="2" customFormat="1" ht="15" hidden="1" customHeight="1">
      <c r="A981" s="814"/>
      <c r="B981" s="815"/>
      <c r="C981" s="815"/>
      <c r="D981" s="147"/>
      <c r="E981" s="135"/>
      <c r="F981" s="135"/>
      <c r="G981" s="233"/>
      <c r="H981" s="233"/>
      <c r="I981" s="613" t="e">
        <f t="shared" si="735"/>
        <v>#DIV/0!</v>
      </c>
      <c r="J981" s="53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</row>
    <row r="982" spans="1:108" s="2" customFormat="1" ht="15" hidden="1" customHeight="1">
      <c r="A982" s="575"/>
      <c r="B982" s="815"/>
      <c r="C982" s="815"/>
      <c r="D982" s="147"/>
      <c r="E982" s="135"/>
      <c r="F982" s="135"/>
      <c r="G982" s="233"/>
      <c r="H982" s="233"/>
      <c r="I982" s="613" t="e">
        <f t="shared" si="735"/>
        <v>#DIV/0!</v>
      </c>
      <c r="J982" s="53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</row>
    <row r="983" spans="1:108" s="2" customFormat="1" ht="15" hidden="1" customHeight="1">
      <c r="A983" s="145" t="s">
        <v>397</v>
      </c>
      <c r="B983" s="144"/>
      <c r="C983" s="146"/>
      <c r="D983" s="147">
        <v>70</v>
      </c>
      <c r="E983" s="135"/>
      <c r="F983" s="135"/>
      <c r="G983" s="233"/>
      <c r="H983" s="233"/>
      <c r="I983" s="613" t="e">
        <f t="shared" si="735"/>
        <v>#DIV/0!</v>
      </c>
      <c r="J983" s="53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</row>
    <row r="984" spans="1:108" s="2" customFormat="1" ht="15" hidden="1" customHeight="1">
      <c r="A984" s="145"/>
      <c r="B984" s="144"/>
      <c r="C984" s="144" t="s">
        <v>396</v>
      </c>
      <c r="D984" s="147"/>
      <c r="E984" s="137"/>
      <c r="F984" s="137"/>
      <c r="G984" s="229"/>
      <c r="H984" s="229"/>
      <c r="I984" s="613" t="e">
        <f t="shared" si="735"/>
        <v>#DIV/0!</v>
      </c>
      <c r="J984" s="53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</row>
    <row r="985" spans="1:108" s="2" customFormat="1" ht="15" hidden="1" customHeight="1">
      <c r="A985" s="157"/>
      <c r="B985" s="156"/>
      <c r="C985" s="155"/>
      <c r="D985" s="154" t="s">
        <v>73</v>
      </c>
      <c r="E985" s="151"/>
      <c r="F985" s="151"/>
      <c r="G985" s="460"/>
      <c r="H985" s="460"/>
      <c r="I985" s="613" t="e">
        <f t="shared" si="735"/>
        <v>#DIV/0!</v>
      </c>
      <c r="J985" s="53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</row>
    <row r="986" spans="1:108" s="2" customFormat="1" ht="15" hidden="1" customHeight="1">
      <c r="A986" s="153"/>
      <c r="B986" s="152"/>
      <c r="C986" s="152"/>
      <c r="D986" s="143"/>
      <c r="E986" s="137"/>
      <c r="F986" s="137"/>
      <c r="G986" s="229"/>
      <c r="H986" s="229"/>
      <c r="I986" s="613" t="e">
        <f t="shared" si="735"/>
        <v>#DIV/0!</v>
      </c>
      <c r="J986" s="53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</row>
    <row r="987" spans="1:108" s="2" customFormat="1" ht="15" hidden="1" customHeight="1">
      <c r="A987" s="145"/>
      <c r="B987" s="149"/>
      <c r="C987" s="148"/>
      <c r="D987" s="147"/>
      <c r="E987" s="137"/>
      <c r="F987" s="137"/>
      <c r="G987" s="229"/>
      <c r="H987" s="229"/>
      <c r="I987" s="613" t="e">
        <f t="shared" si="735"/>
        <v>#DIV/0!</v>
      </c>
      <c r="J987" s="53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</row>
    <row r="988" spans="1:108" s="2" customFormat="1" ht="15" customHeight="1">
      <c r="A988" s="803" t="s">
        <v>103</v>
      </c>
      <c r="B988" s="804"/>
      <c r="C988" s="805"/>
      <c r="D988" s="147">
        <v>81</v>
      </c>
      <c r="E988" s="137">
        <f t="shared" ref="E988" si="741">E995</f>
        <v>0</v>
      </c>
      <c r="F988" s="137">
        <f t="shared" ref="F988:H988" si="742">F995</f>
        <v>0</v>
      </c>
      <c r="G988" s="229">
        <f t="shared" si="742"/>
        <v>0</v>
      </c>
      <c r="H988" s="229">
        <f t="shared" si="742"/>
        <v>0</v>
      </c>
      <c r="I988" s="613"/>
      <c r="J988" s="53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</row>
    <row r="989" spans="1:108" s="2" customFormat="1" ht="41.25" customHeight="1">
      <c r="A989" s="811" t="s">
        <v>390</v>
      </c>
      <c r="B989" s="812"/>
      <c r="C989" s="813"/>
      <c r="D989" s="142" t="s">
        <v>389</v>
      </c>
      <c r="E989" s="137">
        <f t="shared" ref="E989" si="743">E1000</f>
        <v>0</v>
      </c>
      <c r="F989" s="137">
        <f t="shared" ref="F989:G989" si="744">F1000</f>
        <v>0</v>
      </c>
      <c r="G989" s="229">
        <f t="shared" si="744"/>
        <v>0</v>
      </c>
      <c r="H989" s="229">
        <f>H1000+H1010</f>
        <v>-167595</v>
      </c>
      <c r="I989" s="613"/>
      <c r="J989" s="53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</row>
    <row r="990" spans="1:108" s="2" customFormat="1" ht="16.899999999999999" customHeight="1">
      <c r="A990" s="793" t="s">
        <v>395</v>
      </c>
      <c r="B990" s="794"/>
      <c r="C990" s="795"/>
      <c r="D990" s="140" t="s">
        <v>26</v>
      </c>
      <c r="E990" s="151">
        <f t="shared" ref="E990" si="745">E991+E998+E1000</f>
        <v>27492000</v>
      </c>
      <c r="F990" s="151">
        <f t="shared" ref="F990:H990" si="746">F991+F998+F1000</f>
        <v>11923000</v>
      </c>
      <c r="G990" s="460">
        <f t="shared" si="746"/>
        <v>6291805</v>
      </c>
      <c r="H990" s="460">
        <f t="shared" si="746"/>
        <v>4491379.42</v>
      </c>
      <c r="I990" s="613">
        <f>H990/F990</f>
        <v>0.37669876876625008</v>
      </c>
      <c r="J990" s="53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</row>
    <row r="991" spans="1:108" s="2" customFormat="1" ht="15" customHeight="1">
      <c r="A991" s="803" t="s">
        <v>57</v>
      </c>
      <c r="B991" s="804"/>
      <c r="C991" s="805"/>
      <c r="D991" s="147">
        <v>20</v>
      </c>
      <c r="E991" s="137">
        <f t="shared" ref="E991" si="747">E992+E993+E994</f>
        <v>27492000</v>
      </c>
      <c r="F991" s="137">
        <f t="shared" ref="F991:H991" si="748">F992+F993+F994</f>
        <v>11923000</v>
      </c>
      <c r="G991" s="229">
        <f t="shared" si="748"/>
        <v>6291805</v>
      </c>
      <c r="H991" s="229">
        <f t="shared" si="748"/>
        <v>4496345.0199999996</v>
      </c>
      <c r="I991" s="613">
        <f>H991/F991</f>
        <v>0.37711524113058792</v>
      </c>
      <c r="J991" s="53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</row>
    <row r="992" spans="1:108" s="2" customFormat="1" ht="15" customHeight="1">
      <c r="A992" s="577"/>
      <c r="B992" s="150"/>
      <c r="C992" s="149" t="s">
        <v>394</v>
      </c>
      <c r="D992" s="143"/>
      <c r="E992" s="137">
        <f t="shared" ref="E992" si="749">E570</f>
        <v>11757000</v>
      </c>
      <c r="F992" s="137">
        <f t="shared" ref="F992:H993" si="750">F570</f>
        <v>7339000</v>
      </c>
      <c r="G992" s="229">
        <f t="shared" si="750"/>
        <v>4155800</v>
      </c>
      <c r="H992" s="229">
        <f t="shared" si="750"/>
        <v>4155800</v>
      </c>
      <c r="I992" s="613">
        <f>H992/F992</f>
        <v>0.56626243357405637</v>
      </c>
      <c r="J992" s="53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</row>
    <row r="993" spans="1:108" s="2" customFormat="1" ht="15" customHeight="1">
      <c r="A993" s="577"/>
      <c r="B993" s="150"/>
      <c r="C993" s="149" t="s">
        <v>393</v>
      </c>
      <c r="D993" s="143"/>
      <c r="E993" s="137">
        <f t="shared" ref="E993" si="751">E571</f>
        <v>15735000</v>
      </c>
      <c r="F993" s="137">
        <f t="shared" si="750"/>
        <v>4584000</v>
      </c>
      <c r="G993" s="229">
        <f t="shared" si="750"/>
        <v>2136005</v>
      </c>
      <c r="H993" s="229">
        <f t="shared" si="750"/>
        <v>340545.01999999955</v>
      </c>
      <c r="I993" s="613">
        <f>H993/F993</f>
        <v>7.4289925828970232E-2</v>
      </c>
      <c r="J993" s="53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</row>
    <row r="994" spans="1:108" s="2" customFormat="1" ht="15" customHeight="1">
      <c r="A994" s="577"/>
      <c r="B994" s="150"/>
      <c r="C994" s="503" t="s">
        <v>689</v>
      </c>
      <c r="D994" s="143"/>
      <c r="E994" s="137">
        <f t="shared" ref="E994" si="752">E577</f>
        <v>0</v>
      </c>
      <c r="F994" s="137">
        <f t="shared" ref="F994:H994" si="753">F577</f>
        <v>0</v>
      </c>
      <c r="G994" s="137">
        <f t="shared" si="753"/>
        <v>0</v>
      </c>
      <c r="H994" s="229">
        <f t="shared" si="753"/>
        <v>0</v>
      </c>
      <c r="I994" s="613"/>
      <c r="J994" s="53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</row>
    <row r="995" spans="1:108" s="2" customFormat="1" ht="15" customHeight="1">
      <c r="A995" s="803" t="s">
        <v>392</v>
      </c>
      <c r="B995" s="804"/>
      <c r="C995" s="805"/>
      <c r="D995" s="138" t="s">
        <v>391</v>
      </c>
      <c r="E995" s="137">
        <f>E589</f>
        <v>0</v>
      </c>
      <c r="F995" s="137">
        <f>F589</f>
        <v>0</v>
      </c>
      <c r="G995" s="229">
        <f>G589</f>
        <v>0</v>
      </c>
      <c r="H995" s="229">
        <f>H589</f>
        <v>0</v>
      </c>
      <c r="I995" s="613"/>
      <c r="J995" s="53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</row>
    <row r="996" spans="1:108" s="2" customFormat="1" ht="15" hidden="1" customHeight="1">
      <c r="A996" s="814"/>
      <c r="B996" s="815"/>
      <c r="C996" s="815"/>
      <c r="D996" s="147"/>
      <c r="E996" s="137"/>
      <c r="F996" s="137"/>
      <c r="G996" s="229"/>
      <c r="H996" s="229"/>
      <c r="I996" s="613"/>
      <c r="J996" s="53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</row>
    <row r="997" spans="1:108" s="2" customFormat="1" ht="15" hidden="1" customHeight="1">
      <c r="A997" s="575"/>
      <c r="B997" s="815"/>
      <c r="C997" s="815"/>
      <c r="D997" s="147"/>
      <c r="E997" s="137"/>
      <c r="F997" s="137"/>
      <c r="G997" s="229"/>
      <c r="H997" s="229"/>
      <c r="I997" s="613"/>
      <c r="J997" s="53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</row>
    <row r="998" spans="1:108" s="2" customFormat="1" ht="15" hidden="1" customHeight="1">
      <c r="A998" s="145"/>
      <c r="B998" s="144"/>
      <c r="C998" s="146"/>
      <c r="D998" s="143"/>
      <c r="E998" s="137"/>
      <c r="F998" s="137"/>
      <c r="G998" s="229"/>
      <c r="H998" s="229"/>
      <c r="I998" s="613"/>
      <c r="J998" s="53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</row>
    <row r="999" spans="1:108" s="2" customFormat="1" ht="15" hidden="1" customHeight="1">
      <c r="A999" s="145"/>
      <c r="B999" s="144"/>
      <c r="C999" s="144"/>
      <c r="D999" s="143"/>
      <c r="E999" s="137"/>
      <c r="F999" s="137"/>
      <c r="G999" s="229"/>
      <c r="H999" s="229"/>
      <c r="I999" s="613"/>
      <c r="J999" s="53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</row>
    <row r="1000" spans="1:108" s="2" customFormat="1" ht="36.75" customHeight="1">
      <c r="A1000" s="811" t="s">
        <v>390</v>
      </c>
      <c r="B1000" s="812"/>
      <c r="C1000" s="813"/>
      <c r="D1000" s="142" t="s">
        <v>389</v>
      </c>
      <c r="E1000" s="137">
        <f>E595</f>
        <v>0</v>
      </c>
      <c r="F1000" s="137">
        <f>F595</f>
        <v>0</v>
      </c>
      <c r="G1000" s="229">
        <f>G595</f>
        <v>0</v>
      </c>
      <c r="H1000" s="229">
        <f>H595</f>
        <v>-4965.6000000000004</v>
      </c>
      <c r="I1000" s="613"/>
      <c r="J1000" s="53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</row>
    <row r="1001" spans="1:108" s="2" customFormat="1" ht="16.899999999999999" customHeight="1">
      <c r="A1001" s="793" t="s">
        <v>388</v>
      </c>
      <c r="B1001" s="794"/>
      <c r="C1001" s="795"/>
      <c r="D1001" s="140" t="s">
        <v>11</v>
      </c>
      <c r="E1001" s="139">
        <f>E1002+E1004</f>
        <v>1350000</v>
      </c>
      <c r="F1001" s="139">
        <f>F1002+F1004</f>
        <v>0</v>
      </c>
      <c r="G1001" s="304">
        <f t="shared" ref="G1001:H1001" si="754">G1002+G1004</f>
        <v>0</v>
      </c>
      <c r="H1001" s="304">
        <f t="shared" si="754"/>
        <v>0</v>
      </c>
      <c r="I1001" s="613"/>
      <c r="J1001" s="53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</row>
    <row r="1002" spans="1:108" s="2" customFormat="1" ht="16.899999999999999" customHeight="1">
      <c r="A1002" s="803" t="s">
        <v>57</v>
      </c>
      <c r="B1002" s="804"/>
      <c r="C1002" s="805"/>
      <c r="D1002" s="188">
        <v>20</v>
      </c>
      <c r="E1002" s="521">
        <f>E598</f>
        <v>1350000</v>
      </c>
      <c r="F1002" s="521">
        <f>F598</f>
        <v>0</v>
      </c>
      <c r="G1002" s="521">
        <f t="shared" ref="G1002:H1002" si="755">G598</f>
        <v>0</v>
      </c>
      <c r="H1002" s="521">
        <f t="shared" si="755"/>
        <v>0</v>
      </c>
      <c r="I1002" s="613"/>
      <c r="J1002" s="53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</row>
    <row r="1003" spans="1:108" s="2" customFormat="1" ht="16.899999999999999" customHeight="1">
      <c r="A1003" s="574"/>
      <c r="B1003" s="806" t="s">
        <v>701</v>
      </c>
      <c r="C1003" s="807"/>
      <c r="D1003" s="142" t="s">
        <v>702</v>
      </c>
      <c r="E1003" s="521">
        <f>E599</f>
        <v>1350000</v>
      </c>
      <c r="F1003" s="521">
        <f>F599</f>
        <v>0</v>
      </c>
      <c r="G1003" s="521">
        <f t="shared" ref="G1003:H1003" si="756">G599</f>
        <v>0</v>
      </c>
      <c r="H1003" s="521">
        <f t="shared" si="756"/>
        <v>0</v>
      </c>
      <c r="I1003" s="613"/>
      <c r="J1003" s="53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</row>
    <row r="1004" spans="1:108" s="2" customFormat="1" ht="15" customHeight="1">
      <c r="A1004" s="796" t="s">
        <v>10</v>
      </c>
      <c r="B1004" s="797"/>
      <c r="C1004" s="797"/>
      <c r="D1004" s="138" t="s">
        <v>9</v>
      </c>
      <c r="E1004" s="135">
        <f t="shared" ref="E1004:H1004" si="757">E1005</f>
        <v>0</v>
      </c>
      <c r="F1004" s="135">
        <f t="shared" si="757"/>
        <v>0</v>
      </c>
      <c r="G1004" s="233">
        <f t="shared" si="757"/>
        <v>0</v>
      </c>
      <c r="H1004" s="233">
        <f t="shared" si="757"/>
        <v>0</v>
      </c>
      <c r="I1004" s="613"/>
      <c r="J1004" s="53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</row>
    <row r="1005" spans="1:108" s="2" customFormat="1" ht="15" customHeight="1">
      <c r="A1005" s="141"/>
      <c r="B1005" s="798" t="s">
        <v>8</v>
      </c>
      <c r="C1005" s="799"/>
      <c r="D1005" s="138" t="s">
        <v>7</v>
      </c>
      <c r="E1005" s="137">
        <f>E601</f>
        <v>0</v>
      </c>
      <c r="F1005" s="137">
        <f>F601</f>
        <v>0</v>
      </c>
      <c r="G1005" s="229">
        <f>G601</f>
        <v>0</v>
      </c>
      <c r="H1005" s="229">
        <f>H601</f>
        <v>0</v>
      </c>
      <c r="I1005" s="613"/>
      <c r="J1005" s="53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</row>
    <row r="1006" spans="1:108" s="2" customFormat="1" ht="16.899999999999999" customHeight="1">
      <c r="A1006" s="793" t="s">
        <v>387</v>
      </c>
      <c r="B1006" s="794"/>
      <c r="C1006" s="795"/>
      <c r="D1006" s="140" t="s">
        <v>5</v>
      </c>
      <c r="E1006" s="139">
        <f t="shared" ref="E1006" si="758">E1008+E1009</f>
        <v>7965000</v>
      </c>
      <c r="F1006" s="139">
        <f t="shared" ref="F1006:G1006" si="759">F1008+F1009</f>
        <v>3343000</v>
      </c>
      <c r="G1006" s="304">
        <f t="shared" si="759"/>
        <v>3250000</v>
      </c>
      <c r="H1006" s="304">
        <f>H1008+H1009+H1010</f>
        <v>3053082.61</v>
      </c>
      <c r="I1006" s="613">
        <f t="shared" ref="I1006:I1009" si="760">H1006/F1006</f>
        <v>0.91327628178282971</v>
      </c>
      <c r="J1006" s="53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</row>
    <row r="1007" spans="1:108" s="2" customFormat="1" ht="24.75" customHeight="1">
      <c r="A1007" s="800" t="s">
        <v>4</v>
      </c>
      <c r="B1007" s="801"/>
      <c r="C1007" s="802"/>
      <c r="D1007" s="527" t="s">
        <v>386</v>
      </c>
      <c r="E1007" s="409">
        <f t="shared" ref="E1007" si="761">E1008+E1009</f>
        <v>7965000</v>
      </c>
      <c r="F1007" s="409">
        <f t="shared" ref="F1007:H1007" si="762">F1008+F1009</f>
        <v>3343000</v>
      </c>
      <c r="G1007" s="469">
        <f t="shared" si="762"/>
        <v>3250000</v>
      </c>
      <c r="H1007" s="469">
        <f t="shared" si="762"/>
        <v>3215712.01</v>
      </c>
      <c r="I1007" s="613">
        <f t="shared" si="760"/>
        <v>0.96192402333233618</v>
      </c>
      <c r="J1007" s="53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</row>
    <row r="1008" spans="1:108" s="2" customFormat="1" ht="15" customHeight="1">
      <c r="A1008" s="808" t="s">
        <v>710</v>
      </c>
      <c r="B1008" s="809"/>
      <c r="C1008" s="810"/>
      <c r="D1008" s="526" t="s">
        <v>386</v>
      </c>
      <c r="E1008" s="137">
        <f t="shared" ref="E1008:H1009" si="763">E605</f>
        <v>6058000</v>
      </c>
      <c r="F1008" s="137">
        <f t="shared" si="763"/>
        <v>2600000</v>
      </c>
      <c r="G1008" s="229">
        <f t="shared" si="763"/>
        <v>2600000</v>
      </c>
      <c r="H1008" s="229">
        <f t="shared" si="763"/>
        <v>2600000</v>
      </c>
      <c r="I1008" s="613">
        <f t="shared" si="760"/>
        <v>1</v>
      </c>
      <c r="J1008" s="53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</row>
    <row r="1009" spans="1:108" s="2" customFormat="1" ht="15" customHeight="1">
      <c r="A1009" s="808" t="s">
        <v>710</v>
      </c>
      <c r="B1009" s="809"/>
      <c r="C1009" s="810"/>
      <c r="D1009" s="526" t="s">
        <v>386</v>
      </c>
      <c r="E1009" s="137">
        <f t="shared" si="763"/>
        <v>1907000</v>
      </c>
      <c r="F1009" s="137">
        <f t="shared" si="763"/>
        <v>743000</v>
      </c>
      <c r="G1009" s="229">
        <f t="shared" si="763"/>
        <v>650000</v>
      </c>
      <c r="H1009" s="229">
        <f t="shared" si="763"/>
        <v>615712.01</v>
      </c>
      <c r="I1009" s="613">
        <f t="shared" si="760"/>
        <v>0.82868372812920599</v>
      </c>
      <c r="J1009" s="53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</row>
    <row r="1010" spans="1:108" s="2" customFormat="1" ht="24.75" customHeight="1">
      <c r="A1010" s="811" t="s">
        <v>390</v>
      </c>
      <c r="B1010" s="812"/>
      <c r="C1010" s="813"/>
      <c r="D1010" s="142" t="s">
        <v>389</v>
      </c>
      <c r="E1010" s="137"/>
      <c r="F1010" s="137"/>
      <c r="G1010" s="229"/>
      <c r="H1010" s="229">
        <f>H609</f>
        <v>-162629.4</v>
      </c>
      <c r="I1010" s="613"/>
      <c r="J1010" s="53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</row>
    <row r="1011" spans="1:108" ht="15" customHeight="1">
      <c r="A1011" s="788" t="s">
        <v>3</v>
      </c>
      <c r="B1011" s="789"/>
      <c r="C1011" s="790"/>
      <c r="D1011" s="136" t="s">
        <v>2</v>
      </c>
      <c r="E1011" s="135">
        <f>E629-E782</f>
        <v>0</v>
      </c>
      <c r="F1011" s="135">
        <f>F629-F782</f>
        <v>0</v>
      </c>
      <c r="G1011" s="233">
        <f>G629-G782</f>
        <v>12908161.560000002</v>
      </c>
      <c r="H1011" s="233">
        <f>H629-H782</f>
        <v>19650400.950000003</v>
      </c>
      <c r="I1011" s="613"/>
    </row>
    <row r="1012" spans="1:108" ht="15" customHeight="1">
      <c r="A1012" s="577"/>
      <c r="B1012" s="569" t="s">
        <v>16</v>
      </c>
      <c r="C1012" s="569"/>
      <c r="D1012" s="136" t="s">
        <v>384</v>
      </c>
      <c r="E1012" s="135">
        <v>0</v>
      </c>
      <c r="F1012" s="135">
        <v>0</v>
      </c>
      <c r="G1012" s="233">
        <v>0</v>
      </c>
      <c r="H1012" s="233">
        <v>0</v>
      </c>
      <c r="I1012" s="613"/>
    </row>
    <row r="1013" spans="1:108" ht="15" customHeight="1">
      <c r="A1013" s="577"/>
      <c r="B1013" s="569" t="s">
        <v>0</v>
      </c>
      <c r="C1013" s="569"/>
      <c r="D1013" s="136" t="s">
        <v>383</v>
      </c>
      <c r="E1013" s="135">
        <f>E782-E629</f>
        <v>0</v>
      </c>
      <c r="F1013" s="135">
        <f>F782-F629</f>
        <v>0</v>
      </c>
      <c r="G1013" s="233">
        <f>G782-G629</f>
        <v>-12908161.560000002</v>
      </c>
      <c r="H1013" s="233">
        <f>H782-H629</f>
        <v>-19650400.950000003</v>
      </c>
      <c r="I1013" s="613"/>
      <c r="M1013" s="100"/>
    </row>
    <row r="1014" spans="1:108" s="134" customFormat="1" ht="18.600000000000001" customHeight="1">
      <c r="A1014" s="742" t="s">
        <v>382</v>
      </c>
      <c r="B1014" s="743"/>
      <c r="C1014" s="665"/>
      <c r="D1014" s="24" t="s">
        <v>381</v>
      </c>
      <c r="E1014" s="23">
        <f>E1015+E1112+E1039+E1093+E1140+E1155+E1157+E1158</f>
        <v>209710000</v>
      </c>
      <c r="F1014" s="23">
        <f>F1015+F1112+F1039+F1093+F1140+F1155+F1157+F1158</f>
        <v>132819000</v>
      </c>
      <c r="G1014" s="101">
        <f>G1015+G1112+G1039+G1093+G1140+G1155+G1157+G1158</f>
        <v>48683040.949999996</v>
      </c>
      <c r="H1014" s="101">
        <f>H1015+H1112+H1039+H1093+H1140+H1155+H1157+H1158</f>
        <v>48683040.949999996</v>
      </c>
      <c r="I1014" s="613">
        <f>H1014/F1014</f>
        <v>0.36653672253216779</v>
      </c>
      <c r="J1014" s="531"/>
      <c r="K1014" s="2"/>
      <c r="L1014" s="2"/>
      <c r="M1014" s="2"/>
      <c r="N1014" s="100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108" ht="15" customHeight="1">
      <c r="A1015" s="726" t="s">
        <v>380</v>
      </c>
      <c r="B1015" s="727"/>
      <c r="C1015" s="727"/>
      <c r="D1015" s="586" t="s">
        <v>117</v>
      </c>
      <c r="E1015" s="53">
        <f t="shared" ref="E1015" si="764">E1016-E1039+E1097-E1093+E1109</f>
        <v>0</v>
      </c>
      <c r="F1015" s="53">
        <f t="shared" ref="F1015:H1015" si="765">F1016-F1039+F1097-F1093+F1109</f>
        <v>0</v>
      </c>
      <c r="G1015" s="470">
        <f t="shared" si="765"/>
        <v>20277446.809999999</v>
      </c>
      <c r="H1015" s="470">
        <f t="shared" si="765"/>
        <v>20277446.809999999</v>
      </c>
      <c r="I1015" s="613"/>
    </row>
    <row r="1016" spans="1:108" ht="15" customHeight="1">
      <c r="A1016" s="762" t="s">
        <v>379</v>
      </c>
      <c r="B1016" s="763"/>
      <c r="C1016" s="763"/>
      <c r="D1016" s="132" t="s">
        <v>378</v>
      </c>
      <c r="E1016" s="28">
        <f t="shared" ref="E1016" si="766">E1017+E1061</f>
        <v>0</v>
      </c>
      <c r="F1016" s="28">
        <f t="shared" ref="F1016:H1016" si="767">F1017+F1061</f>
        <v>0</v>
      </c>
      <c r="G1016" s="10">
        <f t="shared" si="767"/>
        <v>273384.53999999998</v>
      </c>
      <c r="H1016" s="10">
        <f t="shared" si="767"/>
        <v>273384.53999999998</v>
      </c>
      <c r="I1016" s="613"/>
    </row>
    <row r="1017" spans="1:108" ht="15" hidden="1" customHeight="1">
      <c r="A1017" s="111" t="s">
        <v>377</v>
      </c>
      <c r="B1017" s="47"/>
      <c r="C1017" s="47"/>
      <c r="D1017" s="131" t="s">
        <v>376</v>
      </c>
      <c r="E1017" s="28">
        <f t="shared" ref="E1017" si="768">E1018+E1029+E1038+E1058+E1032</f>
        <v>0</v>
      </c>
      <c r="F1017" s="28">
        <f t="shared" ref="F1017:H1017" si="769">F1018+F1029+F1038+F1058+F1032</f>
        <v>0</v>
      </c>
      <c r="G1017" s="10">
        <f t="shared" si="769"/>
        <v>0</v>
      </c>
      <c r="H1017" s="10">
        <f t="shared" si="769"/>
        <v>0</v>
      </c>
      <c r="I1017" s="613"/>
    </row>
    <row r="1018" spans="1:108" ht="15" hidden="1" customHeight="1">
      <c r="A1018" s="111" t="s">
        <v>375</v>
      </c>
      <c r="B1018" s="47"/>
      <c r="C1018" s="47"/>
      <c r="D1018" s="131" t="s">
        <v>374</v>
      </c>
      <c r="E1018" s="28">
        <f t="shared" ref="E1018" si="770">E1019+E1022+E1026</f>
        <v>0</v>
      </c>
      <c r="F1018" s="28">
        <f t="shared" ref="F1018:H1018" si="771">F1019+F1022+F1026</f>
        <v>0</v>
      </c>
      <c r="G1018" s="10">
        <f t="shared" si="771"/>
        <v>0</v>
      </c>
      <c r="H1018" s="10">
        <f t="shared" si="771"/>
        <v>0</v>
      </c>
      <c r="I1018" s="613"/>
    </row>
    <row r="1019" spans="1:108" ht="15" hidden="1" customHeight="1">
      <c r="A1019" s="791" t="s">
        <v>373</v>
      </c>
      <c r="B1019" s="792"/>
      <c r="C1019" s="792"/>
      <c r="D1019" s="131" t="s">
        <v>372</v>
      </c>
      <c r="E1019" s="28">
        <f t="shared" ref="E1019:H1022" si="772">E1020</f>
        <v>0</v>
      </c>
      <c r="F1019" s="28">
        <f t="shared" si="772"/>
        <v>0</v>
      </c>
      <c r="G1019" s="10">
        <f t="shared" si="772"/>
        <v>0</v>
      </c>
      <c r="H1019" s="10">
        <f t="shared" si="772"/>
        <v>0</v>
      </c>
      <c r="I1019" s="613"/>
    </row>
    <row r="1020" spans="1:108" ht="15" hidden="1" customHeight="1">
      <c r="A1020" s="111" t="s">
        <v>371</v>
      </c>
      <c r="B1020" s="36"/>
      <c r="C1020" s="47"/>
      <c r="D1020" s="128" t="s">
        <v>370</v>
      </c>
      <c r="E1020" s="28">
        <f t="shared" si="772"/>
        <v>0</v>
      </c>
      <c r="F1020" s="28">
        <f t="shared" si="772"/>
        <v>0</v>
      </c>
      <c r="G1020" s="10">
        <f t="shared" si="772"/>
        <v>0</v>
      </c>
      <c r="H1020" s="10">
        <f t="shared" si="772"/>
        <v>0</v>
      </c>
      <c r="I1020" s="613"/>
    </row>
    <row r="1021" spans="1:108" ht="15" hidden="1" customHeight="1">
      <c r="A1021" s="111"/>
      <c r="B1021" s="47" t="s">
        <v>369</v>
      </c>
      <c r="C1021" s="36"/>
      <c r="D1021" s="128" t="s">
        <v>368</v>
      </c>
      <c r="E1021" s="28">
        <f t="shared" si="772"/>
        <v>0</v>
      </c>
      <c r="F1021" s="28">
        <f t="shared" si="772"/>
        <v>0</v>
      </c>
      <c r="G1021" s="10">
        <f t="shared" si="772"/>
        <v>0</v>
      </c>
      <c r="H1021" s="10">
        <f t="shared" si="772"/>
        <v>0</v>
      </c>
      <c r="I1021" s="613"/>
    </row>
    <row r="1022" spans="1:108" ht="15" hidden="1" customHeight="1">
      <c r="A1022" s="791" t="s">
        <v>367</v>
      </c>
      <c r="B1022" s="792"/>
      <c r="C1022" s="792"/>
      <c r="D1022" s="131" t="s">
        <v>366</v>
      </c>
      <c r="E1022" s="28">
        <f t="shared" si="772"/>
        <v>0</v>
      </c>
      <c r="F1022" s="28">
        <f t="shared" si="772"/>
        <v>0</v>
      </c>
      <c r="G1022" s="10">
        <f t="shared" si="772"/>
        <v>0</v>
      </c>
      <c r="H1022" s="10">
        <f t="shared" si="772"/>
        <v>0</v>
      </c>
      <c r="I1022" s="613"/>
    </row>
    <row r="1023" spans="1:108" ht="15" hidden="1" customHeight="1">
      <c r="A1023" s="111" t="s">
        <v>365</v>
      </c>
      <c r="B1023" s="36"/>
      <c r="C1023" s="129"/>
      <c r="D1023" s="128" t="s">
        <v>364</v>
      </c>
      <c r="E1023" s="28">
        <f t="shared" ref="E1023" si="773">E1024+E1025</f>
        <v>0</v>
      </c>
      <c r="F1023" s="28">
        <f t="shared" ref="F1023:H1023" si="774">F1024+F1025</f>
        <v>0</v>
      </c>
      <c r="G1023" s="10">
        <f t="shared" si="774"/>
        <v>0</v>
      </c>
      <c r="H1023" s="10">
        <f t="shared" si="774"/>
        <v>0</v>
      </c>
      <c r="I1023" s="613"/>
    </row>
    <row r="1024" spans="1:108" ht="15" hidden="1" customHeight="1">
      <c r="A1024" s="133">
        <v>0.13</v>
      </c>
      <c r="B1024" s="47" t="s">
        <v>363</v>
      </c>
      <c r="C1024" s="36"/>
      <c r="D1024" s="128" t="s">
        <v>362</v>
      </c>
      <c r="E1024" s="15"/>
      <c r="F1024" s="15"/>
      <c r="G1024" s="94"/>
      <c r="H1024" s="94"/>
      <c r="I1024" s="613"/>
    </row>
    <row r="1025" spans="1:108" ht="15" hidden="1" customHeight="1">
      <c r="A1025" s="133">
        <v>0.22</v>
      </c>
      <c r="B1025" s="750" t="s">
        <v>361</v>
      </c>
      <c r="C1025" s="750"/>
      <c r="D1025" s="128" t="s">
        <v>360</v>
      </c>
      <c r="E1025" s="15"/>
      <c r="F1025" s="15"/>
      <c r="G1025" s="94"/>
      <c r="H1025" s="94"/>
      <c r="I1025" s="613"/>
    </row>
    <row r="1026" spans="1:108" ht="15" hidden="1" customHeight="1">
      <c r="A1026" s="111" t="s">
        <v>359</v>
      </c>
      <c r="B1026" s="47"/>
      <c r="C1026" s="129"/>
      <c r="D1026" s="118" t="s">
        <v>358</v>
      </c>
      <c r="E1026" s="28">
        <f t="shared" ref="E1026:H1027" si="775">E1027</f>
        <v>0</v>
      </c>
      <c r="F1026" s="28">
        <f t="shared" si="775"/>
        <v>0</v>
      </c>
      <c r="G1026" s="10">
        <f t="shared" si="775"/>
        <v>0</v>
      </c>
      <c r="H1026" s="10">
        <f t="shared" si="775"/>
        <v>0</v>
      </c>
      <c r="I1026" s="613"/>
    </row>
    <row r="1027" spans="1:108" s="2" customFormat="1" ht="15" hidden="1" customHeight="1">
      <c r="A1027" s="111" t="s">
        <v>357</v>
      </c>
      <c r="B1027" s="36"/>
      <c r="C1027" s="47"/>
      <c r="D1027" s="128" t="s">
        <v>356</v>
      </c>
      <c r="E1027" s="28">
        <f t="shared" si="775"/>
        <v>0</v>
      </c>
      <c r="F1027" s="28">
        <f t="shared" si="775"/>
        <v>0</v>
      </c>
      <c r="G1027" s="10">
        <f t="shared" si="775"/>
        <v>0</v>
      </c>
      <c r="H1027" s="10">
        <f t="shared" si="775"/>
        <v>0</v>
      </c>
      <c r="I1027" s="613"/>
      <c r="J1027" s="53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</row>
    <row r="1028" spans="1:108" s="2" customFormat="1" ht="15" hidden="1" customHeight="1">
      <c r="A1028" s="111"/>
      <c r="B1028" s="47" t="s">
        <v>355</v>
      </c>
      <c r="C1028" s="36"/>
      <c r="D1028" s="128" t="s">
        <v>354</v>
      </c>
      <c r="E1028" s="15"/>
      <c r="F1028" s="15"/>
      <c r="G1028" s="94"/>
      <c r="H1028" s="94"/>
      <c r="I1028" s="613"/>
      <c r="J1028" s="53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</row>
    <row r="1029" spans="1:108" s="2" customFormat="1" ht="15" hidden="1" customHeight="1">
      <c r="A1029" s="111" t="s">
        <v>353</v>
      </c>
      <c r="B1029" s="129"/>
      <c r="C1029" s="47"/>
      <c r="D1029" s="118" t="s">
        <v>352</v>
      </c>
      <c r="E1029" s="15"/>
      <c r="F1029" s="15"/>
      <c r="G1029" s="94"/>
      <c r="H1029" s="94"/>
      <c r="I1029" s="613"/>
      <c r="J1029" s="53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</row>
    <row r="1030" spans="1:108" s="2" customFormat="1" ht="15" hidden="1" customHeight="1">
      <c r="A1030" s="111" t="s">
        <v>351</v>
      </c>
      <c r="B1030" s="36"/>
      <c r="C1030" s="113"/>
      <c r="D1030" s="128" t="s">
        <v>350</v>
      </c>
      <c r="E1030" s="15"/>
      <c r="F1030" s="15"/>
      <c r="G1030" s="94"/>
      <c r="H1030" s="94"/>
      <c r="I1030" s="613"/>
      <c r="J1030" s="53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</row>
    <row r="1031" spans="1:108" s="2" customFormat="1" ht="15" hidden="1" customHeight="1">
      <c r="A1031" s="111"/>
      <c r="B1031" s="47" t="s">
        <v>349</v>
      </c>
      <c r="C1031" s="36"/>
      <c r="D1031" s="128" t="s">
        <v>348</v>
      </c>
      <c r="E1031" s="15"/>
      <c r="F1031" s="15"/>
      <c r="G1031" s="94"/>
      <c r="H1031" s="94"/>
      <c r="I1031" s="613"/>
      <c r="J1031" s="53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</row>
    <row r="1032" spans="1:108" s="2" customFormat="1" ht="15" hidden="1" customHeight="1">
      <c r="A1032" s="111" t="s">
        <v>347</v>
      </c>
      <c r="B1032" s="47"/>
      <c r="C1032" s="129"/>
      <c r="D1032" s="118" t="s">
        <v>346</v>
      </c>
      <c r="E1032" s="15"/>
      <c r="F1032" s="15"/>
      <c r="G1032" s="94"/>
      <c r="H1032" s="94"/>
      <c r="I1032" s="613"/>
      <c r="J1032" s="53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</row>
    <row r="1033" spans="1:108" s="2" customFormat="1" ht="15" hidden="1" customHeight="1">
      <c r="A1033" s="111" t="s">
        <v>345</v>
      </c>
      <c r="B1033" s="36"/>
      <c r="C1033" s="47"/>
      <c r="D1033" s="131" t="s">
        <v>344</v>
      </c>
      <c r="E1033" s="15"/>
      <c r="F1033" s="15"/>
      <c r="G1033" s="94"/>
      <c r="H1033" s="94"/>
      <c r="I1033" s="613"/>
      <c r="J1033" s="53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</row>
    <row r="1034" spans="1:108" s="2" customFormat="1" ht="15" hidden="1" customHeight="1">
      <c r="A1034" s="117"/>
      <c r="B1034" s="47" t="s">
        <v>343</v>
      </c>
      <c r="C1034" s="36"/>
      <c r="D1034" s="131" t="s">
        <v>342</v>
      </c>
      <c r="E1034" s="15"/>
      <c r="F1034" s="15"/>
      <c r="G1034" s="94"/>
      <c r="H1034" s="94"/>
      <c r="I1034" s="613"/>
      <c r="J1034" s="53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</row>
    <row r="1035" spans="1:108" s="2" customFormat="1" ht="15" hidden="1" customHeight="1">
      <c r="A1035" s="117"/>
      <c r="B1035" s="47" t="s">
        <v>341</v>
      </c>
      <c r="C1035" s="36"/>
      <c r="D1035" s="131" t="s">
        <v>340</v>
      </c>
      <c r="E1035" s="15"/>
      <c r="F1035" s="15"/>
      <c r="G1035" s="94"/>
      <c r="H1035" s="94"/>
      <c r="I1035" s="613"/>
      <c r="J1035" s="53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</row>
    <row r="1036" spans="1:108" s="2" customFormat="1" ht="15" hidden="1" customHeight="1">
      <c r="A1036" s="117"/>
      <c r="B1036" s="758" t="s">
        <v>339</v>
      </c>
      <c r="C1036" s="758"/>
      <c r="D1036" s="131" t="s">
        <v>338</v>
      </c>
      <c r="E1036" s="15"/>
      <c r="F1036" s="15"/>
      <c r="G1036" s="94"/>
      <c r="H1036" s="94"/>
      <c r="I1036" s="613"/>
      <c r="J1036" s="53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</row>
    <row r="1037" spans="1:108" s="2" customFormat="1" ht="15" hidden="1" customHeight="1">
      <c r="A1037" s="117"/>
      <c r="B1037" s="47" t="s">
        <v>337</v>
      </c>
      <c r="C1037" s="36"/>
      <c r="D1037" s="131" t="s">
        <v>336</v>
      </c>
      <c r="E1037" s="15"/>
      <c r="F1037" s="15"/>
      <c r="G1037" s="94"/>
      <c r="H1037" s="94"/>
      <c r="I1037" s="613"/>
      <c r="J1037" s="53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</row>
    <row r="1038" spans="1:108" s="2" customFormat="1" ht="15" hidden="1" customHeight="1">
      <c r="A1038" s="111" t="s">
        <v>335</v>
      </c>
      <c r="B1038" s="113"/>
      <c r="C1038" s="124"/>
      <c r="D1038" s="116" t="s">
        <v>334</v>
      </c>
      <c r="E1038" s="78">
        <f t="shared" ref="E1038" si="776">E1039+E1054</f>
        <v>0</v>
      </c>
      <c r="F1038" s="78">
        <f t="shared" ref="F1038:H1038" si="777">F1039+F1054</f>
        <v>0</v>
      </c>
      <c r="G1038" s="14">
        <f t="shared" si="777"/>
        <v>0</v>
      </c>
      <c r="H1038" s="14">
        <f t="shared" si="777"/>
        <v>0</v>
      </c>
      <c r="I1038" s="613"/>
      <c r="J1038" s="53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</row>
    <row r="1039" spans="1:108" s="2" customFormat="1" ht="15" hidden="1" customHeight="1">
      <c r="A1039" s="117" t="s">
        <v>333</v>
      </c>
      <c r="B1039" s="114"/>
      <c r="C1039" s="124"/>
      <c r="D1039" s="132" t="s">
        <v>332</v>
      </c>
      <c r="E1039" s="78">
        <f t="shared" ref="E1039" si="778">E1040+E1049+E1050</f>
        <v>0</v>
      </c>
      <c r="F1039" s="78">
        <f t="shared" ref="F1039:H1039" si="779">F1040+F1049+F1050</f>
        <v>0</v>
      </c>
      <c r="G1039" s="14">
        <f t="shared" si="779"/>
        <v>0</v>
      </c>
      <c r="H1039" s="14">
        <f t="shared" si="779"/>
        <v>0</v>
      </c>
      <c r="I1039" s="613"/>
      <c r="J1039" s="53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</row>
    <row r="1040" spans="1:108" s="2" customFormat="1" ht="15" hidden="1" customHeight="1">
      <c r="A1040" s="117"/>
      <c r="B1040" s="774" t="s">
        <v>331</v>
      </c>
      <c r="C1040" s="774"/>
      <c r="D1040" s="131" t="s">
        <v>330</v>
      </c>
      <c r="E1040" s="15"/>
      <c r="F1040" s="15"/>
      <c r="G1040" s="94"/>
      <c r="H1040" s="94"/>
      <c r="I1040" s="613"/>
      <c r="J1040" s="53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</row>
    <row r="1041" spans="1:108" s="2" customFormat="1" ht="15" hidden="1" customHeight="1">
      <c r="A1041" s="117"/>
      <c r="B1041" s="121"/>
      <c r="C1041" s="36"/>
      <c r="D1041" s="131"/>
      <c r="E1041" s="15"/>
      <c r="F1041" s="15"/>
      <c r="G1041" s="94"/>
      <c r="H1041" s="94"/>
      <c r="I1041" s="613"/>
      <c r="J1041" s="53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</row>
    <row r="1042" spans="1:108" s="2" customFormat="1" ht="15" hidden="1" customHeight="1">
      <c r="A1042" s="117"/>
      <c r="B1042" s="121"/>
      <c r="C1042" s="36"/>
      <c r="D1042" s="131"/>
      <c r="E1042" s="15"/>
      <c r="F1042" s="15"/>
      <c r="G1042" s="94"/>
      <c r="H1042" s="94"/>
      <c r="I1042" s="613"/>
      <c r="J1042" s="53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</row>
    <row r="1043" spans="1:108" s="2" customFormat="1" ht="15" hidden="1" customHeight="1">
      <c r="A1043" s="782" t="s">
        <v>329</v>
      </c>
      <c r="B1043" s="783"/>
      <c r="C1043" s="783"/>
      <c r="D1043" s="131"/>
      <c r="E1043" s="15"/>
      <c r="F1043" s="15"/>
      <c r="G1043" s="94"/>
      <c r="H1043" s="94"/>
      <c r="I1043" s="613"/>
      <c r="J1043" s="53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</row>
    <row r="1044" spans="1:108" s="2" customFormat="1" ht="15" hidden="1" customHeight="1">
      <c r="A1044" s="782" t="s">
        <v>328</v>
      </c>
      <c r="B1044" s="783"/>
      <c r="C1044" s="783"/>
      <c r="D1044" s="131"/>
      <c r="E1044" s="15"/>
      <c r="F1044" s="15"/>
      <c r="G1044" s="94"/>
      <c r="H1044" s="94"/>
      <c r="I1044" s="613"/>
      <c r="J1044" s="53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</row>
    <row r="1045" spans="1:108" s="2" customFormat="1" ht="15" hidden="1" customHeight="1">
      <c r="A1045" s="784" t="s">
        <v>327</v>
      </c>
      <c r="B1045" s="785"/>
      <c r="C1045" s="785"/>
      <c r="D1045" s="131"/>
      <c r="E1045" s="15"/>
      <c r="F1045" s="15"/>
      <c r="G1045" s="94"/>
      <c r="H1045" s="94"/>
      <c r="I1045" s="613"/>
      <c r="J1045" s="53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</row>
    <row r="1046" spans="1:108" s="2" customFormat="1" ht="15" hidden="1" customHeight="1">
      <c r="A1046" s="782" t="s">
        <v>326</v>
      </c>
      <c r="B1046" s="783"/>
      <c r="C1046" s="783"/>
      <c r="D1046" s="131"/>
      <c r="E1046" s="15"/>
      <c r="F1046" s="15"/>
      <c r="G1046" s="94"/>
      <c r="H1046" s="94"/>
      <c r="I1046" s="613"/>
      <c r="J1046" s="53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</row>
    <row r="1047" spans="1:108" s="2" customFormat="1" ht="15" hidden="1" customHeight="1">
      <c r="A1047" s="782" t="s">
        <v>325</v>
      </c>
      <c r="B1047" s="783"/>
      <c r="C1047" s="783"/>
      <c r="D1047" s="131"/>
      <c r="E1047" s="15"/>
      <c r="F1047" s="15"/>
      <c r="G1047" s="94"/>
      <c r="H1047" s="94"/>
      <c r="I1047" s="613"/>
      <c r="J1047" s="53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</row>
    <row r="1048" spans="1:108" s="2" customFormat="1" ht="15" hidden="1" customHeight="1">
      <c r="A1048" s="784" t="s">
        <v>324</v>
      </c>
      <c r="B1048" s="785"/>
      <c r="C1048" s="785"/>
      <c r="D1048" s="131"/>
      <c r="E1048" s="15"/>
      <c r="F1048" s="15"/>
      <c r="G1048" s="94"/>
      <c r="H1048" s="94"/>
      <c r="I1048" s="613"/>
      <c r="J1048" s="53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</row>
    <row r="1049" spans="1:108" s="2" customFormat="1" ht="15" hidden="1" customHeight="1">
      <c r="A1049" s="117"/>
      <c r="B1049" s="36" t="s">
        <v>323</v>
      </c>
      <c r="C1049" s="36"/>
      <c r="D1049" s="131" t="s">
        <v>322</v>
      </c>
      <c r="E1049" s="15"/>
      <c r="F1049" s="15"/>
      <c r="G1049" s="94"/>
      <c r="H1049" s="94"/>
      <c r="I1049" s="613"/>
      <c r="J1049" s="53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</row>
    <row r="1050" spans="1:108" s="2" customFormat="1" ht="15" hidden="1" customHeight="1">
      <c r="A1050" s="117"/>
      <c r="B1050" s="774" t="s">
        <v>321</v>
      </c>
      <c r="C1050" s="774"/>
      <c r="D1050" s="131" t="s">
        <v>320</v>
      </c>
      <c r="E1050" s="15"/>
      <c r="F1050" s="15"/>
      <c r="G1050" s="94"/>
      <c r="H1050" s="94"/>
      <c r="I1050" s="613"/>
      <c r="J1050" s="53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</row>
    <row r="1051" spans="1:108" s="2" customFormat="1" ht="15" hidden="1" customHeight="1">
      <c r="A1051" s="117" t="s">
        <v>319</v>
      </c>
      <c r="B1051" s="114"/>
      <c r="C1051" s="124"/>
      <c r="D1051" s="130" t="s">
        <v>318</v>
      </c>
      <c r="E1051" s="85"/>
      <c r="F1051" s="85"/>
      <c r="G1051" s="471"/>
      <c r="H1051" s="471"/>
      <c r="I1051" s="613"/>
      <c r="J1051" s="53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</row>
    <row r="1052" spans="1:108" s="2" customFormat="1" ht="15" hidden="1" customHeight="1">
      <c r="A1052" s="117"/>
      <c r="B1052" s="47" t="s">
        <v>317</v>
      </c>
      <c r="C1052" s="36"/>
      <c r="D1052" s="128" t="s">
        <v>316</v>
      </c>
      <c r="E1052" s="15"/>
      <c r="F1052" s="15"/>
      <c r="G1052" s="94"/>
      <c r="H1052" s="94"/>
      <c r="I1052" s="613"/>
      <c r="J1052" s="53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</row>
    <row r="1053" spans="1:108" s="2" customFormat="1" ht="15" hidden="1" customHeight="1">
      <c r="A1053" s="117"/>
      <c r="B1053" s="121" t="s">
        <v>315</v>
      </c>
      <c r="C1053" s="36"/>
      <c r="D1053" s="128" t="s">
        <v>314</v>
      </c>
      <c r="E1053" s="15"/>
      <c r="F1053" s="15"/>
      <c r="G1053" s="94"/>
      <c r="H1053" s="94"/>
      <c r="I1053" s="613"/>
      <c r="J1053" s="53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</row>
    <row r="1054" spans="1:108" s="2" customFormat="1" ht="25.9" hidden="1" customHeight="1">
      <c r="A1054" s="786" t="s">
        <v>313</v>
      </c>
      <c r="B1054" s="787"/>
      <c r="C1054" s="787"/>
      <c r="D1054" s="130" t="s">
        <v>312</v>
      </c>
      <c r="E1054" s="104">
        <f t="shared" ref="E1054" si="780">E1055+E1056+E1057</f>
        <v>0</v>
      </c>
      <c r="F1054" s="104">
        <f t="shared" ref="F1054:H1054" si="781">F1055+F1056+F1057</f>
        <v>0</v>
      </c>
      <c r="G1054" s="472">
        <f t="shared" si="781"/>
        <v>0</v>
      </c>
      <c r="H1054" s="472">
        <f t="shared" si="781"/>
        <v>0</v>
      </c>
      <c r="I1054" s="613"/>
      <c r="J1054" s="53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</row>
    <row r="1055" spans="1:108" s="2" customFormat="1" ht="15" hidden="1" customHeight="1">
      <c r="A1055" s="117"/>
      <c r="B1055" s="47" t="s">
        <v>311</v>
      </c>
      <c r="C1055" s="36"/>
      <c r="D1055" s="128" t="s">
        <v>310</v>
      </c>
      <c r="E1055" s="15"/>
      <c r="F1055" s="15"/>
      <c r="G1055" s="94"/>
      <c r="H1055" s="94"/>
      <c r="I1055" s="613"/>
      <c r="J1055" s="53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</row>
    <row r="1056" spans="1:108" s="2" customFormat="1" ht="15" hidden="1" customHeight="1">
      <c r="A1056" s="117"/>
      <c r="B1056" s="774" t="s">
        <v>309</v>
      </c>
      <c r="C1056" s="774"/>
      <c r="D1056" s="128" t="s">
        <v>308</v>
      </c>
      <c r="E1056" s="15"/>
      <c r="F1056" s="15"/>
      <c r="G1056" s="94"/>
      <c r="H1056" s="94"/>
      <c r="I1056" s="613"/>
      <c r="J1056" s="53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</row>
    <row r="1057" spans="1:108" s="2" customFormat="1" ht="15" hidden="1" customHeight="1">
      <c r="A1057" s="117"/>
      <c r="B1057" s="758" t="s">
        <v>307</v>
      </c>
      <c r="C1057" s="758"/>
      <c r="D1057" s="128" t="s">
        <v>306</v>
      </c>
      <c r="E1057" s="15"/>
      <c r="F1057" s="15"/>
      <c r="G1057" s="94"/>
      <c r="H1057" s="94"/>
      <c r="I1057" s="613"/>
      <c r="J1057" s="53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</row>
    <row r="1058" spans="1:108" s="2" customFormat="1" ht="15" hidden="1" customHeight="1">
      <c r="A1058" s="117" t="s">
        <v>305</v>
      </c>
      <c r="B1058" s="121"/>
      <c r="C1058" s="129"/>
      <c r="D1058" s="118" t="s">
        <v>304</v>
      </c>
      <c r="E1058" s="15"/>
      <c r="F1058" s="15"/>
      <c r="G1058" s="94"/>
      <c r="H1058" s="94"/>
      <c r="I1058" s="613"/>
      <c r="J1058" s="53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</row>
    <row r="1059" spans="1:108" s="2" customFormat="1" ht="15" hidden="1" customHeight="1">
      <c r="A1059" s="117" t="s">
        <v>303</v>
      </c>
      <c r="B1059" s="36"/>
      <c r="C1059" s="129"/>
      <c r="D1059" s="128" t="s">
        <v>302</v>
      </c>
      <c r="E1059" s="15"/>
      <c r="F1059" s="15"/>
      <c r="G1059" s="94"/>
      <c r="H1059" s="94"/>
      <c r="I1059" s="613"/>
      <c r="J1059" s="53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</row>
    <row r="1060" spans="1:108" s="2" customFormat="1" ht="15" hidden="1" customHeight="1">
      <c r="A1060" s="117"/>
      <c r="B1060" s="121" t="s">
        <v>301</v>
      </c>
      <c r="C1060" s="36"/>
      <c r="D1060" s="128" t="s">
        <v>300</v>
      </c>
      <c r="E1060" s="15"/>
      <c r="F1060" s="15"/>
      <c r="G1060" s="94"/>
      <c r="H1060" s="94"/>
      <c r="I1060" s="613"/>
      <c r="J1060" s="53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</row>
    <row r="1061" spans="1:108" s="2" customFormat="1" ht="15" customHeight="1">
      <c r="A1061" s="762" t="s">
        <v>299</v>
      </c>
      <c r="B1061" s="763"/>
      <c r="C1061" s="763"/>
      <c r="D1061" s="116" t="s">
        <v>298</v>
      </c>
      <c r="E1061" s="78">
        <f t="shared" ref="E1061" si="782">E1062+E1071</f>
        <v>0</v>
      </c>
      <c r="F1061" s="78">
        <f t="shared" ref="F1061:H1061" si="783">F1062+F1071</f>
        <v>0</v>
      </c>
      <c r="G1061" s="14">
        <f t="shared" si="783"/>
        <v>273384.53999999998</v>
      </c>
      <c r="H1061" s="14">
        <f t="shared" si="783"/>
        <v>273384.53999999998</v>
      </c>
      <c r="I1061" s="613"/>
      <c r="J1061" s="53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</row>
    <row r="1062" spans="1:108" s="2" customFormat="1" ht="15" customHeight="1">
      <c r="A1062" s="111" t="s">
        <v>297</v>
      </c>
      <c r="B1062" s="113"/>
      <c r="C1062" s="124"/>
      <c r="D1062" s="116" t="s">
        <v>296</v>
      </c>
      <c r="E1062" s="78">
        <f t="shared" ref="E1062" si="784">E1063+E1069</f>
        <v>0</v>
      </c>
      <c r="F1062" s="78">
        <f t="shared" ref="F1062:H1062" si="785">F1063+F1069</f>
        <v>0</v>
      </c>
      <c r="G1062" s="14">
        <f t="shared" si="785"/>
        <v>0</v>
      </c>
      <c r="H1062" s="14">
        <f t="shared" si="785"/>
        <v>0</v>
      </c>
      <c r="I1062" s="613"/>
      <c r="J1062" s="53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</row>
    <row r="1063" spans="1:108" s="2" customFormat="1" ht="15" customHeight="1">
      <c r="A1063" s="111" t="s">
        <v>295</v>
      </c>
      <c r="B1063" s="36"/>
      <c r="C1063" s="129"/>
      <c r="D1063" s="128" t="s">
        <v>294</v>
      </c>
      <c r="E1063" s="28">
        <f t="shared" ref="E1063" si="786">E1064+E1065+E1066+E1067+E1068</f>
        <v>0</v>
      </c>
      <c r="F1063" s="28">
        <f t="shared" ref="F1063:H1063" si="787">F1064+F1065+F1066+F1067+F1068</f>
        <v>0</v>
      </c>
      <c r="G1063" s="10">
        <f t="shared" si="787"/>
        <v>0</v>
      </c>
      <c r="H1063" s="10">
        <f t="shared" si="787"/>
        <v>0</v>
      </c>
      <c r="I1063" s="613"/>
      <c r="J1063" s="53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</row>
    <row r="1064" spans="1:108" s="2" customFormat="1" ht="23.45" customHeight="1">
      <c r="A1064" s="117"/>
      <c r="B1064" s="774" t="s">
        <v>293</v>
      </c>
      <c r="C1064" s="774"/>
      <c r="D1064" s="128" t="s">
        <v>292</v>
      </c>
      <c r="E1064" s="15"/>
      <c r="F1064" s="15"/>
      <c r="G1064" s="94"/>
      <c r="H1064" s="94"/>
      <c r="I1064" s="613"/>
      <c r="J1064" s="53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</row>
    <row r="1065" spans="1:108" s="2" customFormat="1" ht="15" customHeight="1">
      <c r="A1065" s="117"/>
      <c r="B1065" s="47" t="s">
        <v>291</v>
      </c>
      <c r="C1065" s="36"/>
      <c r="D1065" s="128" t="s">
        <v>290</v>
      </c>
      <c r="E1065" s="15"/>
      <c r="F1065" s="15"/>
      <c r="G1065" s="94"/>
      <c r="H1065" s="94"/>
      <c r="I1065" s="613"/>
      <c r="J1065" s="53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</row>
    <row r="1066" spans="1:108" s="2" customFormat="1" ht="15" customHeight="1">
      <c r="A1066" s="117"/>
      <c r="B1066" s="47" t="s">
        <v>289</v>
      </c>
      <c r="C1066" s="36"/>
      <c r="D1066" s="128" t="s">
        <v>288</v>
      </c>
      <c r="E1066" s="15"/>
      <c r="F1066" s="15"/>
      <c r="G1066" s="94"/>
      <c r="H1066" s="94"/>
      <c r="I1066" s="613"/>
      <c r="J1066" s="53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</row>
    <row r="1067" spans="1:108" s="2" customFormat="1" ht="15" customHeight="1">
      <c r="A1067" s="111"/>
      <c r="B1067" s="47" t="s">
        <v>287</v>
      </c>
      <c r="C1067" s="36"/>
      <c r="D1067" s="128" t="s">
        <v>286</v>
      </c>
      <c r="E1067" s="15"/>
      <c r="F1067" s="15"/>
      <c r="G1067" s="94"/>
      <c r="H1067" s="94"/>
      <c r="I1067" s="613"/>
      <c r="J1067" s="53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</row>
    <row r="1068" spans="1:108" s="2" customFormat="1" ht="15" customHeight="1">
      <c r="A1068" s="111"/>
      <c r="B1068" s="47" t="s">
        <v>285</v>
      </c>
      <c r="C1068" s="36"/>
      <c r="D1068" s="128" t="s">
        <v>284</v>
      </c>
      <c r="E1068" s="15"/>
      <c r="F1068" s="15"/>
      <c r="G1068" s="94"/>
      <c r="H1068" s="94"/>
      <c r="I1068" s="613"/>
      <c r="J1068" s="53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</row>
    <row r="1069" spans="1:108" s="2" customFormat="1" ht="15" customHeight="1">
      <c r="A1069" s="771" t="s">
        <v>283</v>
      </c>
      <c r="B1069" s="772"/>
      <c r="C1069" s="773"/>
      <c r="D1069" s="127" t="s">
        <v>282</v>
      </c>
      <c r="E1069" s="104">
        <f t="shared" ref="E1069:H1069" si="788">E1070</f>
        <v>0</v>
      </c>
      <c r="F1069" s="104">
        <f t="shared" si="788"/>
        <v>0</v>
      </c>
      <c r="G1069" s="472">
        <f t="shared" si="788"/>
        <v>0</v>
      </c>
      <c r="H1069" s="472">
        <f t="shared" si="788"/>
        <v>0</v>
      </c>
      <c r="I1069" s="613"/>
      <c r="J1069" s="53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</row>
    <row r="1070" spans="1:108" s="2" customFormat="1" ht="15" customHeight="1">
      <c r="A1070" s="111"/>
      <c r="B1070" s="47" t="s">
        <v>281</v>
      </c>
      <c r="C1070" s="36"/>
      <c r="D1070" s="126" t="s">
        <v>280</v>
      </c>
      <c r="E1070" s="15"/>
      <c r="F1070" s="15"/>
      <c r="G1070" s="94"/>
      <c r="H1070" s="94"/>
      <c r="I1070" s="613"/>
      <c r="J1070" s="53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</row>
    <row r="1071" spans="1:108" s="2" customFormat="1">
      <c r="A1071" s="771" t="s">
        <v>279</v>
      </c>
      <c r="B1071" s="772"/>
      <c r="C1071" s="773"/>
      <c r="D1071" s="116" t="s">
        <v>278</v>
      </c>
      <c r="E1071" s="78">
        <f t="shared" ref="E1071" si="789">E1072+E1080+E1083+E1088+E1093</f>
        <v>0</v>
      </c>
      <c r="F1071" s="78">
        <f t="shared" ref="F1071:H1071" si="790">F1072+F1080+F1083+F1088+F1093</f>
        <v>0</v>
      </c>
      <c r="G1071" s="14">
        <f t="shared" si="790"/>
        <v>273384.53999999998</v>
      </c>
      <c r="H1071" s="14">
        <f t="shared" si="790"/>
        <v>273384.53999999998</v>
      </c>
      <c r="I1071" s="613"/>
      <c r="J1071" s="53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</row>
    <row r="1072" spans="1:108" s="2" customFormat="1" ht="15" customHeight="1">
      <c r="A1072" s="111" t="s">
        <v>277</v>
      </c>
      <c r="B1072" s="125"/>
      <c r="C1072" s="124"/>
      <c r="D1072" s="116" t="s">
        <v>276</v>
      </c>
      <c r="E1072" s="78">
        <f t="shared" ref="E1072" si="791">E1079</f>
        <v>0</v>
      </c>
      <c r="F1072" s="78">
        <f t="shared" ref="F1072:H1072" si="792">F1079</f>
        <v>0</v>
      </c>
      <c r="G1072" s="14">
        <f t="shared" si="792"/>
        <v>0</v>
      </c>
      <c r="H1072" s="14">
        <f t="shared" si="792"/>
        <v>0</v>
      </c>
      <c r="I1072" s="613"/>
      <c r="J1072" s="53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</row>
    <row r="1073" spans="1:108" s="2" customFormat="1" ht="15" hidden="1" customHeight="1">
      <c r="A1073" s="117"/>
      <c r="B1073" s="47" t="s">
        <v>275</v>
      </c>
      <c r="C1073" s="36"/>
      <c r="D1073" s="118" t="s">
        <v>274</v>
      </c>
      <c r="E1073" s="15"/>
      <c r="F1073" s="15"/>
      <c r="G1073" s="94"/>
      <c r="H1073" s="94"/>
      <c r="I1073" s="613"/>
      <c r="J1073" s="53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</row>
    <row r="1074" spans="1:108" s="2" customFormat="1" ht="15" hidden="1" customHeight="1">
      <c r="A1074" s="117"/>
      <c r="B1074" s="774" t="s">
        <v>273</v>
      </c>
      <c r="C1074" s="774"/>
      <c r="D1074" s="118" t="s">
        <v>272</v>
      </c>
      <c r="E1074" s="15"/>
      <c r="F1074" s="15"/>
      <c r="G1074" s="94"/>
      <c r="H1074" s="94"/>
      <c r="I1074" s="613"/>
      <c r="J1074" s="53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</row>
    <row r="1075" spans="1:108" s="2" customFormat="1" ht="15" hidden="1" customHeight="1">
      <c r="A1075" s="117"/>
      <c r="B1075" s="774" t="s">
        <v>271</v>
      </c>
      <c r="C1075" s="774"/>
      <c r="D1075" s="118" t="s">
        <v>270</v>
      </c>
      <c r="E1075" s="15"/>
      <c r="F1075" s="15"/>
      <c r="G1075" s="94"/>
      <c r="H1075" s="94"/>
      <c r="I1075" s="613"/>
      <c r="J1075" s="53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</row>
    <row r="1076" spans="1:108" s="2" customFormat="1" ht="15" hidden="1" customHeight="1">
      <c r="A1076" s="120"/>
      <c r="B1076" s="47" t="s">
        <v>269</v>
      </c>
      <c r="C1076" s="36"/>
      <c r="D1076" s="118" t="s">
        <v>268</v>
      </c>
      <c r="E1076" s="15"/>
      <c r="F1076" s="15"/>
      <c r="G1076" s="94"/>
      <c r="H1076" s="94"/>
      <c r="I1076" s="613"/>
      <c r="J1076" s="53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</row>
    <row r="1077" spans="1:108" s="2" customFormat="1" ht="15" hidden="1" customHeight="1">
      <c r="A1077" s="123"/>
      <c r="B1077" s="758" t="s">
        <v>267</v>
      </c>
      <c r="C1077" s="758"/>
      <c r="D1077" s="118" t="s">
        <v>266</v>
      </c>
      <c r="E1077" s="15"/>
      <c r="F1077" s="15"/>
      <c r="G1077" s="94"/>
      <c r="H1077" s="94"/>
      <c r="I1077" s="613"/>
      <c r="J1077" s="53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</row>
    <row r="1078" spans="1:108" s="2" customFormat="1" ht="15" hidden="1" customHeight="1">
      <c r="A1078" s="123"/>
      <c r="B1078" s="774" t="s">
        <v>265</v>
      </c>
      <c r="C1078" s="774"/>
      <c r="D1078" s="118" t="s">
        <v>264</v>
      </c>
      <c r="E1078" s="15"/>
      <c r="F1078" s="15"/>
      <c r="G1078" s="94"/>
      <c r="H1078" s="94"/>
      <c r="I1078" s="613"/>
      <c r="J1078" s="53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</row>
    <row r="1079" spans="1:108" s="2" customFormat="1" ht="15" hidden="1" customHeight="1">
      <c r="A1079" s="120"/>
      <c r="B1079" s="47" t="s">
        <v>263</v>
      </c>
      <c r="C1079" s="36"/>
      <c r="D1079" s="118" t="s">
        <v>262</v>
      </c>
      <c r="E1079" s="15"/>
      <c r="F1079" s="15"/>
      <c r="G1079" s="94"/>
      <c r="H1079" s="94"/>
      <c r="I1079" s="613"/>
      <c r="J1079" s="53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</row>
    <row r="1080" spans="1:108" s="2" customFormat="1" ht="15" hidden="1" customHeight="1">
      <c r="A1080" s="117" t="s">
        <v>261</v>
      </c>
      <c r="B1080" s="114"/>
      <c r="C1080" s="122"/>
      <c r="D1080" s="116" t="s">
        <v>260</v>
      </c>
      <c r="E1080" s="85"/>
      <c r="F1080" s="85"/>
      <c r="G1080" s="471"/>
      <c r="H1080" s="471"/>
      <c r="I1080" s="613"/>
      <c r="J1080" s="53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</row>
    <row r="1081" spans="1:108" s="2" customFormat="1" ht="15" hidden="1" customHeight="1">
      <c r="A1081" s="117"/>
      <c r="B1081" s="121" t="s">
        <v>259</v>
      </c>
      <c r="C1081" s="36"/>
      <c r="D1081" s="118" t="s">
        <v>258</v>
      </c>
      <c r="E1081" s="15"/>
      <c r="F1081" s="15"/>
      <c r="G1081" s="94"/>
      <c r="H1081" s="94"/>
      <c r="I1081" s="613"/>
      <c r="J1081" s="53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</row>
    <row r="1082" spans="1:108" s="2" customFormat="1" ht="15" hidden="1" customHeight="1">
      <c r="A1082" s="120"/>
      <c r="B1082" s="47" t="s">
        <v>257</v>
      </c>
      <c r="C1082" s="36"/>
      <c r="D1082" s="118" t="s">
        <v>256</v>
      </c>
      <c r="E1082" s="15"/>
      <c r="F1082" s="15"/>
      <c r="G1082" s="94"/>
      <c r="H1082" s="94"/>
      <c r="I1082" s="613"/>
      <c r="J1082" s="53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</row>
    <row r="1083" spans="1:108" s="2" customFormat="1" ht="15" hidden="1" customHeight="1">
      <c r="A1083" s="117" t="s">
        <v>255</v>
      </c>
      <c r="B1083" s="114"/>
      <c r="C1083" s="113"/>
      <c r="D1083" s="116" t="s">
        <v>254</v>
      </c>
      <c r="E1083" s="78"/>
      <c r="F1083" s="78"/>
      <c r="G1083" s="14"/>
      <c r="H1083" s="14"/>
      <c r="I1083" s="613"/>
      <c r="J1083" s="53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</row>
    <row r="1084" spans="1:108" s="2" customFormat="1" ht="15" hidden="1" customHeight="1">
      <c r="A1084" s="117"/>
      <c r="B1084" s="758" t="s">
        <v>253</v>
      </c>
      <c r="C1084" s="758"/>
      <c r="D1084" s="118" t="s">
        <v>252</v>
      </c>
      <c r="E1084" s="15"/>
      <c r="F1084" s="15"/>
      <c r="G1084" s="94"/>
      <c r="H1084" s="94"/>
      <c r="I1084" s="613"/>
      <c r="J1084" s="53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</row>
    <row r="1085" spans="1:108" s="2" customFormat="1" ht="15" hidden="1" customHeight="1">
      <c r="A1085" s="117"/>
      <c r="B1085" s="758" t="s">
        <v>251</v>
      </c>
      <c r="C1085" s="758"/>
      <c r="D1085" s="118" t="s">
        <v>250</v>
      </c>
      <c r="E1085" s="15"/>
      <c r="F1085" s="15"/>
      <c r="G1085" s="94"/>
      <c r="H1085" s="94"/>
      <c r="I1085" s="613"/>
      <c r="J1085" s="53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</row>
    <row r="1086" spans="1:108" s="2" customFormat="1" ht="15.75" hidden="1" customHeight="1">
      <c r="A1086" s="119"/>
      <c r="B1086" s="758" t="s">
        <v>249</v>
      </c>
      <c r="C1086" s="758"/>
      <c r="D1086" s="118" t="s">
        <v>248</v>
      </c>
      <c r="E1086" s="15"/>
      <c r="F1086" s="15"/>
      <c r="G1086" s="94"/>
      <c r="H1086" s="94"/>
      <c r="I1086" s="613"/>
      <c r="J1086" s="53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</row>
    <row r="1087" spans="1:108" s="2" customFormat="1" ht="15" hidden="1" customHeight="1">
      <c r="A1087" s="117"/>
      <c r="B1087" s="47" t="s">
        <v>247</v>
      </c>
      <c r="C1087" s="36"/>
      <c r="D1087" s="118" t="s">
        <v>246</v>
      </c>
      <c r="E1087" s="15"/>
      <c r="F1087" s="15"/>
      <c r="G1087" s="94"/>
      <c r="H1087" s="94"/>
      <c r="I1087" s="613"/>
      <c r="J1087" s="53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</row>
    <row r="1088" spans="1:108" s="2" customFormat="1" ht="15" customHeight="1">
      <c r="A1088" s="767" t="s">
        <v>245</v>
      </c>
      <c r="B1088" s="768"/>
      <c r="C1088" s="769"/>
      <c r="D1088" s="116" t="s">
        <v>244</v>
      </c>
      <c r="E1088" s="78">
        <f>E1089+E1090+E1091+E1092</f>
        <v>0</v>
      </c>
      <c r="F1088" s="78">
        <f>F1089+F1090+F1091+F1092</f>
        <v>0</v>
      </c>
      <c r="G1088" s="78">
        <f t="shared" ref="G1088:H1088" si="793">G1089+G1090+G1091+G1092</f>
        <v>273384.53999999998</v>
      </c>
      <c r="H1088" s="78">
        <f t="shared" si="793"/>
        <v>273384.53999999998</v>
      </c>
      <c r="I1088" s="613"/>
      <c r="J1088" s="53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</row>
    <row r="1089" spans="1:108" s="2" customFormat="1" ht="15" customHeight="1">
      <c r="A1089" s="117"/>
      <c r="B1089" s="774" t="s">
        <v>243</v>
      </c>
      <c r="C1089" s="774"/>
      <c r="D1089" s="118" t="s">
        <v>242</v>
      </c>
      <c r="E1089" s="15"/>
      <c r="F1089" s="15"/>
      <c r="G1089" s="94"/>
      <c r="H1089" s="94"/>
      <c r="I1089" s="613"/>
      <c r="J1089" s="53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</row>
    <row r="1090" spans="1:108" s="2" customFormat="1" ht="15" customHeight="1">
      <c r="A1090" s="117"/>
      <c r="B1090" s="780" t="s">
        <v>241</v>
      </c>
      <c r="C1090" s="781"/>
      <c r="D1090" s="118" t="s">
        <v>240</v>
      </c>
      <c r="E1090" s="15">
        <f>E111</f>
        <v>0</v>
      </c>
      <c r="F1090" s="15">
        <f>F111</f>
        <v>0</v>
      </c>
      <c r="G1090" s="94">
        <f>G111</f>
        <v>0</v>
      </c>
      <c r="H1090" s="94">
        <f>H111</f>
        <v>0</v>
      </c>
      <c r="I1090" s="613"/>
      <c r="J1090" s="53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</row>
    <row r="1091" spans="1:108" s="2" customFormat="1" ht="15" customHeight="1">
      <c r="A1091" s="117"/>
      <c r="B1091" s="779" t="s">
        <v>704</v>
      </c>
      <c r="C1091" s="660"/>
      <c r="D1091" s="523" t="s">
        <v>703</v>
      </c>
      <c r="E1091" s="15">
        <f>E113</f>
        <v>0</v>
      </c>
      <c r="F1091" s="15">
        <f>F113</f>
        <v>0</v>
      </c>
      <c r="G1091" s="94">
        <f>G113</f>
        <v>273384.53999999998</v>
      </c>
      <c r="H1091" s="94">
        <f>H113</f>
        <v>273384.53999999998</v>
      </c>
      <c r="I1091" s="613"/>
      <c r="J1091" s="53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</row>
    <row r="1092" spans="1:108" s="2" customFormat="1" ht="15" customHeight="1">
      <c r="A1092" s="117"/>
      <c r="B1092" s="779" t="s">
        <v>239</v>
      </c>
      <c r="C1092" s="660"/>
      <c r="D1092" s="118" t="s">
        <v>238</v>
      </c>
      <c r="E1092" s="15"/>
      <c r="F1092" s="15"/>
      <c r="G1092" s="94"/>
      <c r="H1092" s="94"/>
      <c r="I1092" s="613"/>
      <c r="J1092" s="53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</row>
    <row r="1093" spans="1:108" s="2" customFormat="1" ht="15" customHeight="1">
      <c r="A1093" s="767" t="s">
        <v>237</v>
      </c>
      <c r="B1093" s="768"/>
      <c r="C1093" s="769"/>
      <c r="D1093" s="116" t="s">
        <v>236</v>
      </c>
      <c r="E1093" s="78">
        <f t="shared" ref="E1093" si="794">E1094+E1095+E1096</f>
        <v>0</v>
      </c>
      <c r="F1093" s="78">
        <f t="shared" ref="F1093:H1093" si="795">F1094+F1095+F1096</f>
        <v>0</v>
      </c>
      <c r="G1093" s="14">
        <f t="shared" si="795"/>
        <v>0</v>
      </c>
      <c r="H1093" s="14">
        <f t="shared" si="795"/>
        <v>0</v>
      </c>
      <c r="I1093" s="613"/>
      <c r="J1093" s="53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</row>
    <row r="1094" spans="1:108" s="2" customFormat="1" ht="15" customHeight="1">
      <c r="A1094" s="117"/>
      <c r="B1094" s="779" t="s">
        <v>235</v>
      </c>
      <c r="C1094" s="660"/>
      <c r="D1094" s="582" t="s">
        <v>234</v>
      </c>
      <c r="E1094" s="15"/>
      <c r="F1094" s="15"/>
      <c r="G1094" s="94"/>
      <c r="H1094" s="94"/>
      <c r="I1094" s="613"/>
      <c r="J1094" s="53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</row>
    <row r="1095" spans="1:108" s="2" customFormat="1" ht="15" customHeight="1">
      <c r="A1095" s="646" t="s">
        <v>233</v>
      </c>
      <c r="B1095" s="647"/>
      <c r="C1095" s="647"/>
      <c r="D1095" s="582" t="s">
        <v>232</v>
      </c>
      <c r="E1095" s="15">
        <f>E119</f>
        <v>0</v>
      </c>
      <c r="F1095" s="15">
        <f>F119</f>
        <v>0</v>
      </c>
      <c r="G1095" s="94">
        <f>G119</f>
        <v>0</v>
      </c>
      <c r="H1095" s="94">
        <f>H119</f>
        <v>0</v>
      </c>
      <c r="I1095" s="613"/>
      <c r="J1095" s="53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</row>
    <row r="1096" spans="1:108" s="2" customFormat="1" ht="15" customHeight="1">
      <c r="A1096" s="117"/>
      <c r="B1096" s="779" t="s">
        <v>231</v>
      </c>
      <c r="C1096" s="660"/>
      <c r="D1096" s="582" t="s">
        <v>230</v>
      </c>
      <c r="E1096" s="15"/>
      <c r="F1096" s="15"/>
      <c r="G1096" s="94"/>
      <c r="H1096" s="94"/>
      <c r="I1096" s="613"/>
      <c r="J1096" s="53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</row>
    <row r="1097" spans="1:108" s="2" customFormat="1" ht="15" customHeight="1">
      <c r="A1097" s="767" t="s">
        <v>229</v>
      </c>
      <c r="B1097" s="768"/>
      <c r="C1097" s="769"/>
      <c r="D1097" s="116" t="s">
        <v>228</v>
      </c>
      <c r="E1097" s="78">
        <f t="shared" ref="E1097:H1097" si="796">E1098</f>
        <v>0</v>
      </c>
      <c r="F1097" s="78">
        <f t="shared" si="796"/>
        <v>0</v>
      </c>
      <c r="G1097" s="14">
        <f t="shared" si="796"/>
        <v>4062.27</v>
      </c>
      <c r="H1097" s="14">
        <f t="shared" si="796"/>
        <v>4062.27</v>
      </c>
      <c r="I1097" s="613"/>
      <c r="J1097" s="53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</row>
    <row r="1098" spans="1:108" s="2" customFormat="1" ht="15" customHeight="1">
      <c r="A1098" s="767" t="s">
        <v>227</v>
      </c>
      <c r="B1098" s="768"/>
      <c r="C1098" s="769"/>
      <c r="D1098" s="105" t="s">
        <v>226</v>
      </c>
      <c r="E1098" s="78">
        <f t="shared" ref="E1098" si="797">E1099+E1101+E1102+E1103</f>
        <v>0</v>
      </c>
      <c r="F1098" s="78">
        <f t="shared" ref="F1098:H1098" si="798">F1099+F1101+F1102+F1103</f>
        <v>0</v>
      </c>
      <c r="G1098" s="14">
        <f t="shared" si="798"/>
        <v>4062.27</v>
      </c>
      <c r="H1098" s="14">
        <f t="shared" si="798"/>
        <v>4062.27</v>
      </c>
      <c r="I1098" s="613"/>
      <c r="J1098" s="53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</row>
    <row r="1099" spans="1:108" s="2" customFormat="1" ht="15" customHeight="1">
      <c r="A1099" s="117"/>
      <c r="B1099" s="47" t="s">
        <v>225</v>
      </c>
      <c r="C1099" s="36"/>
      <c r="D1099" s="582" t="s">
        <v>224</v>
      </c>
      <c r="E1099" s="15">
        <f t="shared" ref="E1099:F1099" si="799">E1100</f>
        <v>0</v>
      </c>
      <c r="F1099" s="15">
        <f t="shared" si="799"/>
        <v>0</v>
      </c>
      <c r="G1099" s="94">
        <f>G123</f>
        <v>4062.27</v>
      </c>
      <c r="H1099" s="94">
        <f>H123</f>
        <v>4062.27</v>
      </c>
      <c r="I1099" s="613"/>
      <c r="J1099" s="53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</row>
    <row r="1100" spans="1:108" s="2" customFormat="1" ht="15" customHeight="1">
      <c r="A1100" s="117"/>
      <c r="B1100" s="723" t="s">
        <v>223</v>
      </c>
      <c r="C1100" s="723"/>
      <c r="D1100" s="582" t="s">
        <v>73</v>
      </c>
      <c r="E1100" s="15"/>
      <c r="F1100" s="15"/>
      <c r="G1100" s="94"/>
      <c r="H1100" s="94"/>
      <c r="I1100" s="613"/>
      <c r="J1100" s="53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</row>
    <row r="1101" spans="1:108" s="2" customFormat="1" ht="15" customHeight="1">
      <c r="A1101" s="117"/>
      <c r="B1101" s="774" t="s">
        <v>222</v>
      </c>
      <c r="C1101" s="774"/>
      <c r="D1101" s="582" t="s">
        <v>221</v>
      </c>
      <c r="E1101" s="15"/>
      <c r="F1101" s="15"/>
      <c r="G1101" s="94"/>
      <c r="H1101" s="94"/>
      <c r="I1101" s="613"/>
      <c r="J1101" s="53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</row>
    <row r="1102" spans="1:108" s="2" customFormat="1" ht="15" customHeight="1">
      <c r="A1102" s="117"/>
      <c r="B1102" s="47" t="s">
        <v>220</v>
      </c>
      <c r="C1102" s="36"/>
      <c r="D1102" s="582" t="s">
        <v>219</v>
      </c>
      <c r="E1102" s="15"/>
      <c r="F1102" s="15"/>
      <c r="G1102" s="94"/>
      <c r="H1102" s="94"/>
      <c r="I1102" s="613"/>
      <c r="J1102" s="53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</row>
    <row r="1103" spans="1:108" s="2" customFormat="1" ht="15" customHeight="1">
      <c r="A1103" s="117"/>
      <c r="B1103" s="774" t="s">
        <v>218</v>
      </c>
      <c r="C1103" s="774"/>
      <c r="D1103" s="582" t="s">
        <v>217</v>
      </c>
      <c r="E1103" s="15"/>
      <c r="F1103" s="15"/>
      <c r="G1103" s="94"/>
      <c r="H1103" s="94"/>
      <c r="I1103" s="613"/>
      <c r="J1103" s="53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</row>
    <row r="1104" spans="1:108" s="2" customFormat="1" ht="15" customHeight="1">
      <c r="A1104" s="767" t="s">
        <v>216</v>
      </c>
      <c r="B1104" s="768"/>
      <c r="C1104" s="769"/>
      <c r="D1104" s="116" t="s">
        <v>215</v>
      </c>
      <c r="E1104" s="78">
        <f t="shared" ref="E1104" si="800">E1105+E1110</f>
        <v>0</v>
      </c>
      <c r="F1104" s="78">
        <f t="shared" ref="F1104:H1104" si="801">F1105+F1110</f>
        <v>0</v>
      </c>
      <c r="G1104" s="14">
        <f t="shared" si="801"/>
        <v>20000000</v>
      </c>
      <c r="H1104" s="14">
        <f t="shared" si="801"/>
        <v>20000000</v>
      </c>
      <c r="I1104" s="613"/>
      <c r="J1104" s="53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</row>
    <row r="1105" spans="1:108" s="2" customFormat="1">
      <c r="A1105" s="771" t="s">
        <v>214</v>
      </c>
      <c r="B1105" s="772"/>
      <c r="C1105" s="773"/>
      <c r="D1105" s="582" t="s">
        <v>213</v>
      </c>
      <c r="E1105" s="28">
        <f>E1106+E1107+E1108+E1109</f>
        <v>0</v>
      </c>
      <c r="F1105" s="28">
        <f t="shared" ref="F1105:H1105" si="802">F1106+F1107+F1108+F1109</f>
        <v>0</v>
      </c>
      <c r="G1105" s="10">
        <f t="shared" si="802"/>
        <v>20000000</v>
      </c>
      <c r="H1105" s="10">
        <f t="shared" si="802"/>
        <v>20000000</v>
      </c>
      <c r="I1105" s="613"/>
      <c r="J1105" s="53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</row>
    <row r="1106" spans="1:108" s="2" customFormat="1" hidden="1">
      <c r="A1106" s="770" t="s">
        <v>212</v>
      </c>
      <c r="B1106" s="758"/>
      <c r="C1106" s="758"/>
      <c r="D1106" s="582" t="s">
        <v>211</v>
      </c>
      <c r="E1106" s="15"/>
      <c r="F1106" s="15"/>
      <c r="G1106" s="94"/>
      <c r="H1106" s="94"/>
      <c r="I1106" s="613"/>
      <c r="J1106" s="53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</row>
    <row r="1107" spans="1:108" s="2" customFormat="1" hidden="1">
      <c r="A1107" s="775" t="s">
        <v>210</v>
      </c>
      <c r="B1107" s="774"/>
      <c r="C1107" s="774"/>
      <c r="D1107" s="582" t="s">
        <v>209</v>
      </c>
      <c r="E1107" s="15"/>
      <c r="F1107" s="15"/>
      <c r="G1107" s="94"/>
      <c r="H1107" s="94"/>
      <c r="I1107" s="613"/>
      <c r="J1107" s="53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</row>
    <row r="1108" spans="1:108" s="2" customFormat="1" ht="27" customHeight="1">
      <c r="A1108" s="776" t="s">
        <v>705</v>
      </c>
      <c r="B1108" s="777"/>
      <c r="C1108" s="778"/>
      <c r="D1108" s="525" t="s">
        <v>706</v>
      </c>
      <c r="E1108" s="15">
        <f t="shared" ref="E1108:H1109" si="803">E132</f>
        <v>0</v>
      </c>
      <c r="F1108" s="15">
        <f t="shared" si="803"/>
        <v>0</v>
      </c>
      <c r="G1108" s="94">
        <f t="shared" si="803"/>
        <v>0</v>
      </c>
      <c r="H1108" s="94">
        <f t="shared" si="803"/>
        <v>0</v>
      </c>
      <c r="I1108" s="613"/>
      <c r="J1108" s="53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</row>
    <row r="1109" spans="1:108" s="2" customFormat="1">
      <c r="A1109" s="658" t="s">
        <v>206</v>
      </c>
      <c r="B1109" s="659"/>
      <c r="C1109" s="660"/>
      <c r="D1109" s="36" t="s">
        <v>205</v>
      </c>
      <c r="E1109" s="15">
        <f t="shared" si="803"/>
        <v>0</v>
      </c>
      <c r="F1109" s="15">
        <f t="shared" si="803"/>
        <v>0</v>
      </c>
      <c r="G1109" s="94">
        <f t="shared" si="803"/>
        <v>20000000</v>
      </c>
      <c r="H1109" s="94">
        <f t="shared" si="803"/>
        <v>20000000</v>
      </c>
      <c r="I1109" s="613"/>
      <c r="J1109" s="53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</row>
    <row r="1110" spans="1:108" s="2" customFormat="1" ht="15" customHeight="1">
      <c r="A1110" s="767" t="s">
        <v>204</v>
      </c>
      <c r="B1110" s="768"/>
      <c r="C1110" s="769"/>
      <c r="D1110" s="105">
        <v>41.02</v>
      </c>
      <c r="E1110" s="78">
        <f t="shared" ref="E1110:H1110" si="804">E1111</f>
        <v>0</v>
      </c>
      <c r="F1110" s="78">
        <f t="shared" si="804"/>
        <v>0</v>
      </c>
      <c r="G1110" s="14">
        <f t="shared" si="804"/>
        <v>0</v>
      </c>
      <c r="H1110" s="14">
        <f t="shared" si="804"/>
        <v>0</v>
      </c>
      <c r="I1110" s="613"/>
      <c r="J1110" s="53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</row>
    <row r="1111" spans="1:108" s="2" customFormat="1" ht="37.9" hidden="1" customHeight="1">
      <c r="A1111" s="117"/>
      <c r="B1111" s="770" t="s">
        <v>203</v>
      </c>
      <c r="C1111" s="758"/>
      <c r="D1111" s="36" t="s">
        <v>202</v>
      </c>
      <c r="E1111" s="15"/>
      <c r="F1111" s="15"/>
      <c r="G1111" s="94"/>
      <c r="H1111" s="94"/>
      <c r="I1111" s="613" t="e">
        <f t="shared" ref="I1111:I1125" si="805">H1111/F1111</f>
        <v>#DIV/0!</v>
      </c>
      <c r="J1111" s="53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</row>
    <row r="1112" spans="1:108" s="2" customFormat="1">
      <c r="A1112" s="762" t="s">
        <v>201</v>
      </c>
      <c r="B1112" s="763"/>
      <c r="C1112" s="763"/>
      <c r="D1112" s="116" t="s">
        <v>200</v>
      </c>
      <c r="E1112" s="78">
        <f t="shared" ref="E1112:H1112" si="806">E1113</f>
        <v>75867000</v>
      </c>
      <c r="F1112" s="78">
        <f t="shared" si="806"/>
        <v>65160000</v>
      </c>
      <c r="G1112" s="14">
        <f t="shared" si="806"/>
        <v>20590813.98</v>
      </c>
      <c r="H1112" s="14">
        <f t="shared" si="806"/>
        <v>20590813.98</v>
      </c>
      <c r="I1112" s="613">
        <f t="shared" si="805"/>
        <v>0.31600389779005528</v>
      </c>
      <c r="J1112" s="53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</row>
    <row r="1113" spans="1:108" s="2" customFormat="1">
      <c r="A1113" s="771" t="s">
        <v>199</v>
      </c>
      <c r="B1113" s="772"/>
      <c r="C1113" s="773"/>
      <c r="D1113" s="116" t="s">
        <v>198</v>
      </c>
      <c r="E1113" s="78">
        <f>E1114+E1136</f>
        <v>75867000</v>
      </c>
      <c r="F1113" s="78">
        <f>F1114+F1136</f>
        <v>65160000</v>
      </c>
      <c r="G1113" s="14">
        <f>G1114+G1136</f>
        <v>20590813.98</v>
      </c>
      <c r="H1113" s="14">
        <f>H1114+H1136</f>
        <v>20590813.98</v>
      </c>
      <c r="I1113" s="613">
        <f t="shared" si="805"/>
        <v>0.31600389779005528</v>
      </c>
      <c r="J1113" s="53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</row>
    <row r="1114" spans="1:108" s="2" customFormat="1" ht="15.75" customHeight="1">
      <c r="A1114" s="771" t="s">
        <v>197</v>
      </c>
      <c r="B1114" s="772"/>
      <c r="C1114" s="773"/>
      <c r="D1114" s="105" t="s">
        <v>196</v>
      </c>
      <c r="E1114" s="78">
        <f t="shared" ref="E1114" si="807">E1126+E1127+E1129+E1130+E1139+E1128</f>
        <v>75867000</v>
      </c>
      <c r="F1114" s="78">
        <f t="shared" ref="F1114:H1114" si="808">F1126+F1127+F1129+F1130+F1139+F1128</f>
        <v>65160000</v>
      </c>
      <c r="G1114" s="78">
        <f t="shared" si="808"/>
        <v>20590813.98</v>
      </c>
      <c r="H1114" s="78">
        <f t="shared" si="808"/>
        <v>20590813.98</v>
      </c>
      <c r="I1114" s="613">
        <f t="shared" si="805"/>
        <v>0.31600389779005528</v>
      </c>
      <c r="J1114" s="53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</row>
    <row r="1115" spans="1:108" s="2" customFormat="1" ht="15" hidden="1" customHeight="1">
      <c r="A1115" s="111"/>
      <c r="B1115" s="774" t="s">
        <v>195</v>
      </c>
      <c r="C1115" s="774"/>
      <c r="D1115" s="582" t="s">
        <v>194</v>
      </c>
      <c r="E1115" s="15"/>
      <c r="F1115" s="15"/>
      <c r="G1115" s="94"/>
      <c r="H1115" s="94"/>
      <c r="I1115" s="613" t="e">
        <f t="shared" si="805"/>
        <v>#DIV/0!</v>
      </c>
      <c r="J1115" s="53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</row>
    <row r="1116" spans="1:108" s="2" customFormat="1" ht="15" hidden="1" customHeight="1">
      <c r="A1116" s="111"/>
      <c r="B1116" s="47" t="s">
        <v>193</v>
      </c>
      <c r="C1116" s="36"/>
      <c r="D1116" s="582" t="s">
        <v>192</v>
      </c>
      <c r="E1116" s="15"/>
      <c r="F1116" s="15"/>
      <c r="G1116" s="94"/>
      <c r="H1116" s="94"/>
      <c r="I1116" s="613" t="e">
        <f t="shared" si="805"/>
        <v>#DIV/0!</v>
      </c>
      <c r="J1116" s="53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</row>
    <row r="1117" spans="1:108" s="2" customFormat="1" ht="15" hidden="1" customHeight="1">
      <c r="A1117" s="111"/>
      <c r="B1117" s="47" t="s">
        <v>191</v>
      </c>
      <c r="C1117" s="36"/>
      <c r="D1117" s="582" t="s">
        <v>190</v>
      </c>
      <c r="E1117" s="15"/>
      <c r="F1117" s="15"/>
      <c r="G1117" s="94"/>
      <c r="H1117" s="94"/>
      <c r="I1117" s="613" t="e">
        <f t="shared" si="805"/>
        <v>#DIV/0!</v>
      </c>
      <c r="J1117" s="53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</row>
    <row r="1118" spans="1:108" s="2" customFormat="1" ht="15" hidden="1" customHeight="1">
      <c r="A1118" s="111"/>
      <c r="B1118" s="47" t="s">
        <v>189</v>
      </c>
      <c r="C1118" s="36"/>
      <c r="D1118" s="582" t="s">
        <v>188</v>
      </c>
      <c r="E1118" s="15"/>
      <c r="F1118" s="15"/>
      <c r="G1118" s="94"/>
      <c r="H1118" s="94"/>
      <c r="I1118" s="613" t="e">
        <f t="shared" si="805"/>
        <v>#DIV/0!</v>
      </c>
      <c r="J1118" s="53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</row>
    <row r="1119" spans="1:108" s="2" customFormat="1" ht="15.75" hidden="1" customHeight="1">
      <c r="A1119" s="115"/>
      <c r="B1119" s="758" t="s">
        <v>187</v>
      </c>
      <c r="C1119" s="758"/>
      <c r="D1119" s="582" t="s">
        <v>186</v>
      </c>
      <c r="E1119" s="15"/>
      <c r="F1119" s="15"/>
      <c r="G1119" s="94"/>
      <c r="H1119" s="94"/>
      <c r="I1119" s="613" t="e">
        <f t="shared" si="805"/>
        <v>#DIV/0!</v>
      </c>
      <c r="J1119" s="53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</row>
    <row r="1120" spans="1:108" s="2" customFormat="1" ht="15" hidden="1" customHeight="1">
      <c r="A1120" s="111"/>
      <c r="B1120" s="47" t="s">
        <v>185</v>
      </c>
      <c r="C1120" s="36"/>
      <c r="D1120" s="582" t="s">
        <v>184</v>
      </c>
      <c r="E1120" s="15"/>
      <c r="F1120" s="15"/>
      <c r="G1120" s="94"/>
      <c r="H1120" s="94"/>
      <c r="I1120" s="613" t="e">
        <f t="shared" si="805"/>
        <v>#DIV/0!</v>
      </c>
      <c r="J1120" s="53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</row>
    <row r="1121" spans="1:108" s="2" customFormat="1" ht="14.45" hidden="1" customHeight="1">
      <c r="A1121" s="111"/>
      <c r="B1121" s="750" t="s">
        <v>183</v>
      </c>
      <c r="C1121" s="750"/>
      <c r="D1121" s="582" t="s">
        <v>182</v>
      </c>
      <c r="E1121" s="50"/>
      <c r="F1121" s="50"/>
      <c r="G1121" s="473"/>
      <c r="H1121" s="473"/>
      <c r="I1121" s="613" t="e">
        <f t="shared" si="805"/>
        <v>#DIV/0!</v>
      </c>
      <c r="J1121" s="53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</row>
    <row r="1122" spans="1:108" s="2" customFormat="1" ht="13.15" hidden="1" customHeight="1">
      <c r="A1122" s="111"/>
      <c r="B1122" s="750" t="s">
        <v>181</v>
      </c>
      <c r="C1122" s="750"/>
      <c r="D1122" s="582" t="s">
        <v>180</v>
      </c>
      <c r="E1122" s="15"/>
      <c r="F1122" s="15"/>
      <c r="G1122" s="94"/>
      <c r="H1122" s="94"/>
      <c r="I1122" s="613" t="e">
        <f t="shared" si="805"/>
        <v>#DIV/0!</v>
      </c>
      <c r="J1122" s="53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</row>
    <row r="1123" spans="1:108" s="2" customFormat="1" ht="13.15" hidden="1" customHeight="1">
      <c r="A1123" s="111"/>
      <c r="B1123" s="750" t="s">
        <v>179</v>
      </c>
      <c r="C1123" s="750"/>
      <c r="D1123" s="582" t="s">
        <v>178</v>
      </c>
      <c r="E1123" s="15"/>
      <c r="F1123" s="15"/>
      <c r="G1123" s="94"/>
      <c r="H1123" s="94"/>
      <c r="I1123" s="613" t="e">
        <f t="shared" si="805"/>
        <v>#DIV/0!</v>
      </c>
      <c r="J1123" s="53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</row>
    <row r="1124" spans="1:108" s="2" customFormat="1" ht="13.9" hidden="1" customHeight="1">
      <c r="A1124" s="111"/>
      <c r="B1124" s="750" t="s">
        <v>177</v>
      </c>
      <c r="C1124" s="750"/>
      <c r="D1124" s="582" t="s">
        <v>176</v>
      </c>
      <c r="E1124" s="15"/>
      <c r="F1124" s="15"/>
      <c r="G1124" s="94"/>
      <c r="H1124" s="94"/>
      <c r="I1124" s="613" t="e">
        <f t="shared" si="805"/>
        <v>#DIV/0!</v>
      </c>
      <c r="J1124" s="53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</row>
    <row r="1125" spans="1:108" s="2" customFormat="1" ht="15" hidden="1" customHeight="1">
      <c r="A1125" s="111"/>
      <c r="B1125" s="758" t="s">
        <v>175</v>
      </c>
      <c r="C1125" s="758"/>
      <c r="D1125" s="582" t="s">
        <v>174</v>
      </c>
      <c r="E1125" s="15"/>
      <c r="F1125" s="15"/>
      <c r="G1125" s="94"/>
      <c r="H1125" s="94"/>
      <c r="I1125" s="613" t="e">
        <f t="shared" si="805"/>
        <v>#DIV/0!</v>
      </c>
      <c r="J1125" s="53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</row>
    <row r="1126" spans="1:108" s="2" customFormat="1" ht="26.25" customHeight="1">
      <c r="A1126" s="111"/>
      <c r="B1126" s="758" t="s">
        <v>173</v>
      </c>
      <c r="C1126" s="758"/>
      <c r="D1126" s="582" t="s">
        <v>172</v>
      </c>
      <c r="E1126" s="15">
        <f t="shared" ref="E1126:H1127" si="809">E151</f>
        <v>0</v>
      </c>
      <c r="F1126" s="15">
        <f t="shared" si="809"/>
        <v>0</v>
      </c>
      <c r="G1126" s="94">
        <f t="shared" si="809"/>
        <v>0</v>
      </c>
      <c r="H1126" s="94">
        <f t="shared" si="809"/>
        <v>0</v>
      </c>
      <c r="I1126" s="613"/>
      <c r="J1126" s="53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</row>
    <row r="1127" spans="1:108" s="2" customFormat="1" ht="27.75" customHeight="1">
      <c r="A1127" s="737" t="s">
        <v>171</v>
      </c>
      <c r="B1127" s="738"/>
      <c r="C1127" s="738"/>
      <c r="D1127" s="582" t="s">
        <v>170</v>
      </c>
      <c r="E1127" s="94">
        <f t="shared" si="809"/>
        <v>0</v>
      </c>
      <c r="F1127" s="94">
        <f t="shared" si="809"/>
        <v>0</v>
      </c>
      <c r="G1127" s="94">
        <f t="shared" si="809"/>
        <v>0</v>
      </c>
      <c r="H1127" s="94">
        <f t="shared" si="809"/>
        <v>0</v>
      </c>
      <c r="I1127" s="613"/>
      <c r="J1127" s="53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</row>
    <row r="1128" spans="1:108" s="2" customFormat="1" ht="27.75" customHeight="1">
      <c r="A1128" s="759" t="s">
        <v>169</v>
      </c>
      <c r="B1128" s="760"/>
      <c r="C1128" s="761"/>
      <c r="D1128" s="582" t="s">
        <v>168</v>
      </c>
      <c r="E1128" s="15">
        <f>E156</f>
        <v>215000</v>
      </c>
      <c r="F1128" s="15">
        <f>F156</f>
        <v>215000</v>
      </c>
      <c r="G1128" s="94">
        <f>G156</f>
        <v>0</v>
      </c>
      <c r="H1128" s="94">
        <f>H156</f>
        <v>0</v>
      </c>
      <c r="I1128" s="613">
        <f t="shared" ref="I1128:I1138" si="810">H1128/F1128</f>
        <v>0</v>
      </c>
      <c r="J1128" s="53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</row>
    <row r="1129" spans="1:108" s="2" customFormat="1" ht="27.75" customHeight="1">
      <c r="A1129" s="581"/>
      <c r="B1129" s="765" t="s">
        <v>146</v>
      </c>
      <c r="C1129" s="766"/>
      <c r="D1129" s="110" t="s">
        <v>145</v>
      </c>
      <c r="E1129" s="109">
        <f t="shared" ref="E1129:H1130" si="811">E162</f>
        <v>51273000</v>
      </c>
      <c r="F1129" s="109">
        <f t="shared" si="811"/>
        <v>51273000</v>
      </c>
      <c r="G1129" s="475">
        <f t="shared" si="811"/>
        <v>19322572.609999999</v>
      </c>
      <c r="H1129" s="475">
        <f t="shared" si="811"/>
        <v>19322572.609999999</v>
      </c>
      <c r="I1129" s="613">
        <f t="shared" si="810"/>
        <v>0.376856681099214</v>
      </c>
      <c r="J1129" s="53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</row>
    <row r="1130" spans="1:108" s="2" customFormat="1" ht="41.25" customHeight="1">
      <c r="A1130" s="737" t="s">
        <v>167</v>
      </c>
      <c r="B1130" s="738"/>
      <c r="C1130" s="738"/>
      <c r="D1130" s="105" t="s">
        <v>166</v>
      </c>
      <c r="E1130" s="15">
        <f t="shared" si="811"/>
        <v>24379000</v>
      </c>
      <c r="F1130" s="15">
        <f t="shared" si="811"/>
        <v>13672000</v>
      </c>
      <c r="G1130" s="94">
        <f t="shared" si="811"/>
        <v>1268241.3700000001</v>
      </c>
      <c r="H1130" s="94">
        <f t="shared" si="811"/>
        <v>1268241.3700000001</v>
      </c>
      <c r="I1130" s="616">
        <f t="shared" si="810"/>
        <v>9.2761949239321254E-2</v>
      </c>
      <c r="J1130" s="53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</row>
    <row r="1131" spans="1:108" s="2" customFormat="1" ht="15" hidden="1" customHeight="1">
      <c r="A1131" s="762" t="s">
        <v>165</v>
      </c>
      <c r="B1131" s="763"/>
      <c r="C1131" s="763"/>
      <c r="D1131" s="114" t="s">
        <v>164</v>
      </c>
      <c r="E1131" s="104"/>
      <c r="F1131" s="104"/>
      <c r="G1131" s="472"/>
      <c r="H1131" s="472"/>
      <c r="I1131" s="613" t="e">
        <f t="shared" si="810"/>
        <v>#DIV/0!</v>
      </c>
      <c r="J1131" s="53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</row>
    <row r="1132" spans="1:108" s="2" customFormat="1" ht="15" hidden="1" customHeight="1">
      <c r="A1132" s="111"/>
      <c r="B1132" s="47" t="s">
        <v>163</v>
      </c>
      <c r="C1132" s="36"/>
      <c r="D1132" s="582" t="s">
        <v>162</v>
      </c>
      <c r="E1132" s="15"/>
      <c r="F1132" s="15"/>
      <c r="G1132" s="94"/>
      <c r="H1132" s="94"/>
      <c r="I1132" s="613" t="e">
        <f t="shared" si="810"/>
        <v>#DIV/0!</v>
      </c>
      <c r="J1132" s="53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</row>
    <row r="1133" spans="1:108" s="2" customFormat="1" ht="15" hidden="1" customHeight="1">
      <c r="A1133" s="111"/>
      <c r="B1133" s="764" t="s">
        <v>161</v>
      </c>
      <c r="C1133" s="764"/>
      <c r="D1133" s="582" t="s">
        <v>160</v>
      </c>
      <c r="E1133" s="15"/>
      <c r="F1133" s="15"/>
      <c r="G1133" s="94"/>
      <c r="H1133" s="94"/>
      <c r="I1133" s="613" t="e">
        <f t="shared" si="810"/>
        <v>#DIV/0!</v>
      </c>
      <c r="J1133" s="53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</row>
    <row r="1134" spans="1:108" s="2" customFormat="1" ht="15" hidden="1" customHeight="1">
      <c r="A1134" s="111"/>
      <c r="B1134" s="758" t="s">
        <v>159</v>
      </c>
      <c r="C1134" s="758"/>
      <c r="D1134" s="582" t="s">
        <v>158</v>
      </c>
      <c r="E1134" s="15"/>
      <c r="F1134" s="15"/>
      <c r="G1134" s="94"/>
      <c r="H1134" s="94"/>
      <c r="I1134" s="613" t="e">
        <f t="shared" si="810"/>
        <v>#DIV/0!</v>
      </c>
      <c r="J1134" s="53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</row>
    <row r="1135" spans="1:108" s="2" customFormat="1" ht="15" hidden="1" customHeight="1">
      <c r="A1135" s="111"/>
      <c r="B1135" s="758" t="s">
        <v>157</v>
      </c>
      <c r="C1135" s="758"/>
      <c r="D1135" s="582" t="s">
        <v>156</v>
      </c>
      <c r="E1135" s="15"/>
      <c r="F1135" s="15"/>
      <c r="G1135" s="94"/>
      <c r="H1135" s="94"/>
      <c r="I1135" s="613" t="e">
        <f t="shared" si="810"/>
        <v>#DIV/0!</v>
      </c>
      <c r="J1135" s="53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</row>
    <row r="1136" spans="1:108" s="2" customFormat="1" ht="15" hidden="1" customHeight="1">
      <c r="A1136" s="111" t="s">
        <v>155</v>
      </c>
      <c r="B1136" s="114"/>
      <c r="C1136" s="113"/>
      <c r="D1136" s="105" t="s">
        <v>154</v>
      </c>
      <c r="E1136" s="85"/>
      <c r="F1136" s="85"/>
      <c r="G1136" s="471"/>
      <c r="H1136" s="471"/>
      <c r="I1136" s="613" t="e">
        <f t="shared" si="810"/>
        <v>#DIV/0!</v>
      </c>
      <c r="J1136" s="53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</row>
    <row r="1137" spans="1:108" s="2" customFormat="1" ht="15" hidden="1" customHeight="1">
      <c r="A1137" s="111"/>
      <c r="B1137" s="758" t="s">
        <v>153</v>
      </c>
      <c r="C1137" s="758"/>
      <c r="D1137" s="582" t="s">
        <v>152</v>
      </c>
      <c r="E1137" s="15"/>
      <c r="F1137" s="15"/>
      <c r="G1137" s="94"/>
      <c r="H1137" s="94"/>
      <c r="I1137" s="613" t="e">
        <f t="shared" si="810"/>
        <v>#DIV/0!</v>
      </c>
      <c r="J1137" s="53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</row>
    <row r="1138" spans="1:108" s="2" customFormat="1" ht="15" hidden="1" customHeight="1">
      <c r="A1138" s="580"/>
      <c r="B1138" s="758" t="s">
        <v>151</v>
      </c>
      <c r="C1138" s="758"/>
      <c r="D1138" s="582" t="s">
        <v>150</v>
      </c>
      <c r="E1138" s="15"/>
      <c r="F1138" s="15"/>
      <c r="G1138" s="94"/>
      <c r="H1138" s="94"/>
      <c r="I1138" s="613" t="e">
        <f t="shared" si="810"/>
        <v>#DIV/0!</v>
      </c>
      <c r="J1138" s="53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</row>
    <row r="1139" spans="1:108" s="2" customFormat="1" ht="15" hidden="1" customHeight="1">
      <c r="A1139" s="111"/>
      <c r="B1139" s="113" t="s">
        <v>149</v>
      </c>
      <c r="C1139" s="113"/>
      <c r="D1139" s="113" t="s">
        <v>148</v>
      </c>
      <c r="E1139" s="112">
        <f>E160</f>
        <v>0</v>
      </c>
      <c r="F1139" s="112">
        <f>F160</f>
        <v>0</v>
      </c>
      <c r="G1139" s="474">
        <f>G160</f>
        <v>0</v>
      </c>
      <c r="H1139" s="474">
        <f>H160</f>
        <v>0</v>
      </c>
      <c r="I1139" s="613"/>
      <c r="J1139" s="53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</row>
    <row r="1140" spans="1:108" s="2" customFormat="1" ht="15" customHeight="1">
      <c r="A1140" s="737" t="s">
        <v>144</v>
      </c>
      <c r="B1140" s="738"/>
      <c r="C1140" s="738"/>
      <c r="D1140" s="105" t="s">
        <v>143</v>
      </c>
      <c r="E1140" s="108">
        <f>E171</f>
        <v>0</v>
      </c>
      <c r="F1140" s="108">
        <f>F171</f>
        <v>0</v>
      </c>
      <c r="G1140" s="476">
        <f>G171</f>
        <v>0</v>
      </c>
      <c r="H1140" s="476">
        <f>H171</f>
        <v>0</v>
      </c>
      <c r="I1140" s="613"/>
      <c r="J1140" s="53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</row>
    <row r="1141" spans="1:108" s="2" customFormat="1" ht="15" hidden="1" customHeight="1">
      <c r="A1141" s="737" t="s">
        <v>142</v>
      </c>
      <c r="B1141" s="738"/>
      <c r="C1141" s="738"/>
      <c r="D1141" s="105" t="s">
        <v>141</v>
      </c>
      <c r="E1141" s="82"/>
      <c r="F1141" s="82"/>
      <c r="G1141" s="477"/>
      <c r="H1141" s="477"/>
      <c r="I1141" s="613"/>
      <c r="J1141" s="53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</row>
    <row r="1142" spans="1:108" s="2" customFormat="1" ht="13.15" hidden="1" customHeight="1">
      <c r="A1142" s="106"/>
      <c r="B1142" s="756" t="s">
        <v>126</v>
      </c>
      <c r="C1142" s="757"/>
      <c r="D1142" s="107" t="s">
        <v>140</v>
      </c>
      <c r="E1142" s="15"/>
      <c r="F1142" s="15"/>
      <c r="G1142" s="94"/>
      <c r="H1142" s="94"/>
      <c r="I1142" s="613"/>
      <c r="J1142" s="53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</row>
    <row r="1143" spans="1:108" s="2" customFormat="1" ht="15" hidden="1" customHeight="1">
      <c r="A1143" s="106"/>
      <c r="B1143" s="756" t="s">
        <v>134</v>
      </c>
      <c r="C1143" s="757"/>
      <c r="D1143" s="107" t="s">
        <v>139</v>
      </c>
      <c r="E1143" s="15"/>
      <c r="F1143" s="15"/>
      <c r="G1143" s="94"/>
      <c r="H1143" s="94"/>
      <c r="I1143" s="613"/>
      <c r="J1143" s="53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</row>
    <row r="1144" spans="1:108" s="2" customFormat="1" ht="14.45" hidden="1" customHeight="1">
      <c r="A1144" s="106"/>
      <c r="B1144" s="756" t="s">
        <v>122</v>
      </c>
      <c r="C1144" s="757"/>
      <c r="D1144" s="107" t="s">
        <v>138</v>
      </c>
      <c r="E1144" s="15"/>
      <c r="F1144" s="15"/>
      <c r="G1144" s="94"/>
      <c r="H1144" s="94"/>
      <c r="I1144" s="613"/>
      <c r="J1144" s="53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</row>
    <row r="1145" spans="1:108" s="2" customFormat="1" ht="17.25" hidden="1" customHeight="1">
      <c r="A1145" s="737" t="s">
        <v>137</v>
      </c>
      <c r="B1145" s="738"/>
      <c r="C1145" s="738"/>
      <c r="D1145" s="105" t="s">
        <v>136</v>
      </c>
      <c r="E1145" s="104"/>
      <c r="F1145" s="104"/>
      <c r="G1145" s="472"/>
      <c r="H1145" s="472"/>
      <c r="I1145" s="613"/>
      <c r="J1145" s="53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</row>
    <row r="1146" spans="1:108" s="2" customFormat="1" ht="15" hidden="1" customHeight="1">
      <c r="A1146" s="106"/>
      <c r="B1146" s="756" t="s">
        <v>126</v>
      </c>
      <c r="C1146" s="757"/>
      <c r="D1146" s="582" t="s">
        <v>135</v>
      </c>
      <c r="E1146" s="15"/>
      <c r="F1146" s="15"/>
      <c r="G1146" s="94"/>
      <c r="H1146" s="94"/>
      <c r="I1146" s="613"/>
      <c r="J1146" s="53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</row>
    <row r="1147" spans="1:108" s="2" customFormat="1" ht="15" hidden="1" customHeight="1">
      <c r="A1147" s="106"/>
      <c r="B1147" s="756" t="s">
        <v>134</v>
      </c>
      <c r="C1147" s="757"/>
      <c r="D1147" s="582" t="s">
        <v>133</v>
      </c>
      <c r="E1147" s="15"/>
      <c r="F1147" s="15"/>
      <c r="G1147" s="94"/>
      <c r="H1147" s="94"/>
      <c r="I1147" s="613"/>
      <c r="J1147" s="53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</row>
    <row r="1148" spans="1:108" s="2" customFormat="1" ht="15" hidden="1" customHeight="1">
      <c r="A1148" s="106"/>
      <c r="B1148" s="756" t="s">
        <v>122</v>
      </c>
      <c r="C1148" s="757"/>
      <c r="D1148" s="582" t="s">
        <v>132</v>
      </c>
      <c r="E1148" s="15"/>
      <c r="F1148" s="15"/>
      <c r="G1148" s="94"/>
      <c r="H1148" s="94"/>
      <c r="I1148" s="613"/>
      <c r="J1148" s="53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</row>
    <row r="1149" spans="1:108" s="2" customFormat="1" ht="12.75" hidden="1" customHeight="1">
      <c r="A1149" s="737" t="s">
        <v>131</v>
      </c>
      <c r="B1149" s="738"/>
      <c r="C1149" s="738"/>
      <c r="D1149" s="582" t="s">
        <v>130</v>
      </c>
      <c r="E1149" s="85"/>
      <c r="F1149" s="85"/>
      <c r="G1149" s="471"/>
      <c r="H1149" s="471"/>
      <c r="I1149" s="613"/>
      <c r="J1149" s="53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</row>
    <row r="1150" spans="1:108" s="2" customFormat="1" ht="12.75" hidden="1" customHeight="1">
      <c r="A1150" s="749" t="s">
        <v>124</v>
      </c>
      <c r="B1150" s="750"/>
      <c r="C1150" s="750"/>
      <c r="D1150" s="582" t="s">
        <v>129</v>
      </c>
      <c r="E1150" s="15"/>
      <c r="F1150" s="15"/>
      <c r="G1150" s="94"/>
      <c r="H1150" s="94"/>
      <c r="I1150" s="613"/>
      <c r="J1150" s="53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</row>
    <row r="1151" spans="1:108" s="2" customFormat="1" ht="12.75" hidden="1" customHeight="1">
      <c r="A1151" s="737" t="s">
        <v>128</v>
      </c>
      <c r="B1151" s="738"/>
      <c r="C1151" s="738"/>
      <c r="D1151" s="105" t="s">
        <v>127</v>
      </c>
      <c r="E1151" s="104"/>
      <c r="F1151" s="104"/>
      <c r="G1151" s="472"/>
      <c r="H1151" s="472"/>
      <c r="I1151" s="613"/>
      <c r="J1151" s="53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</row>
    <row r="1152" spans="1:108" s="2" customFormat="1" ht="12.75" hidden="1" customHeight="1">
      <c r="A1152" s="749" t="s">
        <v>126</v>
      </c>
      <c r="B1152" s="750"/>
      <c r="C1152" s="750"/>
      <c r="D1152" s="582" t="s">
        <v>125</v>
      </c>
      <c r="E1152" s="15"/>
      <c r="F1152" s="15"/>
      <c r="G1152" s="94"/>
      <c r="H1152" s="94"/>
      <c r="I1152" s="613"/>
      <c r="J1152" s="53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</row>
    <row r="1153" spans="1:108" s="2" customFormat="1" ht="15" hidden="1" customHeight="1">
      <c r="A1153" s="749" t="s">
        <v>124</v>
      </c>
      <c r="B1153" s="750"/>
      <c r="C1153" s="750"/>
      <c r="D1153" s="582" t="s">
        <v>123</v>
      </c>
      <c r="E1153" s="15"/>
      <c r="F1153" s="15"/>
      <c r="G1153" s="94"/>
      <c r="H1153" s="94"/>
      <c r="I1153" s="613"/>
      <c r="J1153" s="53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</row>
    <row r="1154" spans="1:108" s="2" customFormat="1" ht="15" hidden="1" customHeight="1">
      <c r="A1154" s="749" t="s">
        <v>122</v>
      </c>
      <c r="B1154" s="750"/>
      <c r="C1154" s="750"/>
      <c r="D1154" s="582" t="s">
        <v>121</v>
      </c>
      <c r="E1154" s="15"/>
      <c r="F1154" s="15"/>
      <c r="G1154" s="94"/>
      <c r="H1154" s="94"/>
      <c r="I1154" s="613"/>
      <c r="J1154" s="53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</row>
    <row r="1155" spans="1:108" s="2" customFormat="1" ht="15" hidden="1" customHeight="1">
      <c r="A1155" s="749"/>
      <c r="B1155" s="750"/>
      <c r="C1155" s="750"/>
      <c r="D1155" s="582"/>
      <c r="E1155" s="15"/>
      <c r="F1155" s="15"/>
      <c r="G1155" s="94"/>
      <c r="H1155" s="94"/>
      <c r="I1155" s="613"/>
      <c r="J1155" s="53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</row>
    <row r="1156" spans="1:108" s="2" customFormat="1" ht="16.5" hidden="1" customHeight="1">
      <c r="A1156" s="751"/>
      <c r="B1156" s="752"/>
      <c r="C1156" s="752"/>
      <c r="D1156" s="582"/>
      <c r="E1156" s="15"/>
      <c r="F1156" s="15"/>
      <c r="G1156" s="94"/>
      <c r="H1156" s="94"/>
      <c r="I1156" s="613"/>
      <c r="J1156" s="53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</row>
    <row r="1157" spans="1:108" s="2" customFormat="1" ht="24" customHeight="1">
      <c r="A1157" s="753" t="s">
        <v>120</v>
      </c>
      <c r="B1157" s="754"/>
      <c r="C1157" s="755"/>
      <c r="D1157" s="103" t="s">
        <v>119</v>
      </c>
      <c r="E1157" s="102">
        <f>E172</f>
        <v>0</v>
      </c>
      <c r="F1157" s="102">
        <f>F172</f>
        <v>0</v>
      </c>
      <c r="G1157" s="478">
        <f>G172</f>
        <v>751861.4</v>
      </c>
      <c r="H1157" s="478">
        <f>H172</f>
        <v>751861.4</v>
      </c>
      <c r="I1157" s="613"/>
      <c r="J1157" s="53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</row>
    <row r="1158" spans="1:108" s="2" customFormat="1" ht="27" customHeight="1">
      <c r="A1158" s="737" t="s">
        <v>118</v>
      </c>
      <c r="B1158" s="738"/>
      <c r="C1158" s="738"/>
      <c r="D1158" s="103" t="s">
        <v>117</v>
      </c>
      <c r="E1158" s="102">
        <f t="shared" ref="E1158" si="812">E1159+E1160</f>
        <v>133843000</v>
      </c>
      <c r="F1158" s="102">
        <f t="shared" ref="F1158:H1158" si="813">F1159+F1160</f>
        <v>67659000</v>
      </c>
      <c r="G1158" s="478">
        <f t="shared" si="813"/>
        <v>7062918.7599999998</v>
      </c>
      <c r="H1158" s="478">
        <f t="shared" si="813"/>
        <v>7062918.7599999998</v>
      </c>
      <c r="I1158" s="616">
        <f t="shared" ref="I1158:I1163" si="814">H1158/F1158</f>
        <v>0.10438993718500125</v>
      </c>
      <c r="J1158" s="53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</row>
    <row r="1159" spans="1:108" s="2" customFormat="1" ht="16.5" customHeight="1">
      <c r="A1159" s="739" t="s">
        <v>116</v>
      </c>
      <c r="B1159" s="740"/>
      <c r="C1159" s="741"/>
      <c r="D1159" s="582" t="s">
        <v>115</v>
      </c>
      <c r="E1159" s="15">
        <f t="shared" ref="E1159:H1160" si="815">E190</f>
        <v>132130000</v>
      </c>
      <c r="F1159" s="15">
        <f t="shared" si="815"/>
        <v>66505000</v>
      </c>
      <c r="G1159" s="94">
        <f t="shared" si="815"/>
        <v>6766523.29</v>
      </c>
      <c r="H1159" s="94">
        <f t="shared" si="815"/>
        <v>6766523.29</v>
      </c>
      <c r="I1159" s="613">
        <f t="shared" si="814"/>
        <v>0.10174457995639426</v>
      </c>
      <c r="J1159" s="531"/>
      <c r="M1159" s="100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</row>
    <row r="1160" spans="1:108" s="2" customFormat="1" ht="16.5" customHeight="1">
      <c r="A1160" s="739" t="s">
        <v>114</v>
      </c>
      <c r="B1160" s="740"/>
      <c r="C1160" s="741"/>
      <c r="D1160" s="582" t="s">
        <v>113</v>
      </c>
      <c r="E1160" s="15">
        <f t="shared" si="815"/>
        <v>1713000</v>
      </c>
      <c r="F1160" s="15">
        <f t="shared" si="815"/>
        <v>1154000</v>
      </c>
      <c r="G1160" s="94">
        <f t="shared" si="815"/>
        <v>296395.46999999997</v>
      </c>
      <c r="H1160" s="94">
        <f t="shared" si="815"/>
        <v>296395.46999999997</v>
      </c>
      <c r="I1160" s="613">
        <f t="shared" si="814"/>
        <v>0.25684182842287695</v>
      </c>
      <c r="J1160" s="531"/>
      <c r="M1160" s="100">
        <f>E1162+E1164+E1165+E1166+E1167+E1169+E1171</f>
        <v>270727000</v>
      </c>
      <c r="N1160" s="100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</row>
    <row r="1161" spans="1:108" s="2" customFormat="1" ht="18" customHeight="1">
      <c r="A1161" s="742" t="s">
        <v>112</v>
      </c>
      <c r="B1161" s="743"/>
      <c r="C1161" s="665"/>
      <c r="D1161" s="24" t="s">
        <v>111</v>
      </c>
      <c r="E1161" s="101">
        <f t="shared" ref="E1161" si="816">E1172+E1192+E1208+E1212+E1216+E1251+E1275+E1313+E1364+E1354</f>
        <v>270727000</v>
      </c>
      <c r="F1161" s="101">
        <f t="shared" ref="F1161:G1161" si="817">F1172+F1192+F1208+F1212+F1216+F1251+F1275+F1313+F1364+F1354</f>
        <v>189142000</v>
      </c>
      <c r="G1161" s="101">
        <f t="shared" si="817"/>
        <v>42952457</v>
      </c>
      <c r="H1161" s="101">
        <f>H1172+H1192+H1208+H1212+H1216+H1251+H1275+H1313+H1364+H1354</f>
        <v>30956725.199999999</v>
      </c>
      <c r="I1161" s="613">
        <f t="shared" si="814"/>
        <v>0.16366922841040066</v>
      </c>
      <c r="J1161" s="531"/>
      <c r="N1161" s="100">
        <f t="shared" ref="N1161:P1161" si="818">F1162+F1164+F1165+F1166+F1167+F1169+F1171</f>
        <v>189142000</v>
      </c>
      <c r="O1161" s="100">
        <f t="shared" si="818"/>
        <v>42952457</v>
      </c>
      <c r="P1161" s="100">
        <f t="shared" si="818"/>
        <v>30956725.199999999</v>
      </c>
      <c r="Q1161" s="100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</row>
    <row r="1162" spans="1:108" s="2" customFormat="1" ht="15" customHeight="1">
      <c r="A1162" s="744" t="s">
        <v>110</v>
      </c>
      <c r="B1162" s="745"/>
      <c r="C1162" s="745"/>
      <c r="D1162" s="54" t="s">
        <v>49</v>
      </c>
      <c r="E1162" s="17">
        <f>E1173+E1201+E1205+E1253+E1276+E1314+E1222</f>
        <v>12123000</v>
      </c>
      <c r="F1162" s="17">
        <f>F1173+F1201+F1205+F1253+F1276+F1314+F1222</f>
        <v>11661000</v>
      </c>
      <c r="G1162" s="99">
        <f>G1173+G1201+G1205+G1253+G1276+G1314+G1222</f>
        <v>2011331</v>
      </c>
      <c r="H1162" s="99">
        <f>H1173+H1201+H1205+H1253+H1276+H1314+H1222</f>
        <v>2011326.03</v>
      </c>
      <c r="I1162" s="613">
        <f t="shared" si="814"/>
        <v>0.17248315153074351</v>
      </c>
      <c r="J1162" s="53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</row>
    <row r="1163" spans="1:108" s="2" customFormat="1" ht="14.25" hidden="1" customHeight="1">
      <c r="A1163" s="746" t="s">
        <v>109</v>
      </c>
      <c r="B1163" s="747"/>
      <c r="C1163" s="748"/>
      <c r="D1163" s="54">
        <v>55</v>
      </c>
      <c r="E1163" s="17"/>
      <c r="F1163" s="17"/>
      <c r="G1163" s="99"/>
      <c r="H1163" s="99"/>
      <c r="I1163" s="613" t="e">
        <f t="shared" si="814"/>
        <v>#DIV/0!</v>
      </c>
      <c r="J1163" s="53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</row>
    <row r="1164" spans="1:108" s="2" customFormat="1" ht="14.25" customHeight="1">
      <c r="A1164" s="744" t="s">
        <v>109</v>
      </c>
      <c r="B1164" s="745"/>
      <c r="C1164" s="745"/>
      <c r="D1164" s="54">
        <v>55</v>
      </c>
      <c r="E1164" s="17">
        <f t="shared" ref="E1164" si="819">E1394</f>
        <v>802000</v>
      </c>
      <c r="F1164" s="17">
        <f t="shared" ref="F1164:H1164" si="820">F1394</f>
        <v>802000</v>
      </c>
      <c r="G1164" s="17">
        <f t="shared" si="820"/>
        <v>0</v>
      </c>
      <c r="H1164" s="17">
        <f t="shared" si="820"/>
        <v>0</v>
      </c>
      <c r="I1164" s="613"/>
      <c r="J1164" s="53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</row>
    <row r="1165" spans="1:108" s="2" customFormat="1" ht="24" customHeight="1">
      <c r="A1165" s="724" t="s">
        <v>108</v>
      </c>
      <c r="B1165" s="725"/>
      <c r="C1165" s="725"/>
      <c r="D1165" s="54">
        <v>56</v>
      </c>
      <c r="E1165" s="17">
        <f t="shared" ref="E1165" si="821">E1175</f>
        <v>0</v>
      </c>
      <c r="F1165" s="17">
        <f t="shared" ref="F1165:H1165" si="822">F1175</f>
        <v>0</v>
      </c>
      <c r="G1165" s="99">
        <f t="shared" si="822"/>
        <v>0</v>
      </c>
      <c r="H1165" s="99">
        <f t="shared" si="822"/>
        <v>0</v>
      </c>
      <c r="I1165" s="613"/>
      <c r="J1165" s="53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</row>
    <row r="1166" spans="1:108" s="2" customFormat="1" ht="27.75" customHeight="1">
      <c r="A1166" s="724" t="s">
        <v>107</v>
      </c>
      <c r="B1166" s="725"/>
      <c r="C1166" s="725"/>
      <c r="D1166" s="54">
        <v>58</v>
      </c>
      <c r="E1166" s="17">
        <f t="shared" ref="E1166" si="823">E1179+E1218+E1322+E1365+E1277</f>
        <v>165194000</v>
      </c>
      <c r="F1166" s="17">
        <f t="shared" ref="F1166:H1166" si="824">F1179+F1218+F1322+F1365+F1277</f>
        <v>84071000</v>
      </c>
      <c r="G1166" s="99">
        <f t="shared" si="824"/>
        <v>26437155</v>
      </c>
      <c r="H1166" s="99">
        <f t="shared" si="824"/>
        <v>16573434.82</v>
      </c>
      <c r="I1166" s="616">
        <f>H1166/F1166</f>
        <v>0.19713616847664475</v>
      </c>
      <c r="J1166" s="53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</row>
    <row r="1167" spans="1:108" s="2" customFormat="1" ht="15" customHeight="1">
      <c r="A1167" s="726" t="s">
        <v>23</v>
      </c>
      <c r="B1167" s="727"/>
      <c r="C1167" s="727"/>
      <c r="D1167" s="18">
        <v>70</v>
      </c>
      <c r="E1167" s="99">
        <f t="shared" ref="E1167" si="825">E1183+E1209+E1213+E1223+E1279+E1316+E1366</f>
        <v>92608000</v>
      </c>
      <c r="F1167" s="99">
        <f t="shared" ref="F1167:H1167" si="826">F1183+F1209+F1213+F1223+F1279+F1316+F1366</f>
        <v>92608000</v>
      </c>
      <c r="G1167" s="99">
        <f t="shared" si="826"/>
        <v>14503971</v>
      </c>
      <c r="H1167" s="99">
        <f t="shared" si="826"/>
        <v>13213931.949999999</v>
      </c>
      <c r="I1167" s="613">
        <f>H1167/F1167</f>
        <v>0.14268672198946095</v>
      </c>
      <c r="J1167" s="53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</row>
    <row r="1168" spans="1:108" s="2" customFormat="1" ht="15" customHeight="1">
      <c r="A1168" s="583"/>
      <c r="B1168" s="584"/>
      <c r="C1168" s="585"/>
      <c r="D1168" s="18"/>
      <c r="E1168" s="17"/>
      <c r="F1168" s="17"/>
      <c r="G1168" s="99"/>
      <c r="H1168" s="99"/>
      <c r="I1168" s="613"/>
      <c r="J1168" s="53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</row>
    <row r="1169" spans="1:108" s="2" customFormat="1" ht="15" customHeight="1">
      <c r="A1169" s="728" t="s">
        <v>103</v>
      </c>
      <c r="B1169" s="729"/>
      <c r="C1169" s="730"/>
      <c r="D1169" s="98">
        <v>81.040000000000006</v>
      </c>
      <c r="E1169" s="17">
        <f t="shared" ref="E1169" si="827">E1186+E1384</f>
        <v>0</v>
      </c>
      <c r="F1169" s="17">
        <f t="shared" ref="F1169:H1169" si="828">F1186+F1384</f>
        <v>0</v>
      </c>
      <c r="G1169" s="99">
        <f t="shared" si="828"/>
        <v>0</v>
      </c>
      <c r="H1169" s="99">
        <f t="shared" si="828"/>
        <v>0</v>
      </c>
      <c r="I1169" s="613"/>
      <c r="J1169" s="53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</row>
    <row r="1170" spans="1:108" s="2" customFormat="1" ht="14.45" hidden="1" customHeight="1">
      <c r="A1170" s="731"/>
      <c r="B1170" s="732"/>
      <c r="C1170" s="733"/>
      <c r="D1170" s="18"/>
      <c r="E1170" s="17"/>
      <c r="F1170" s="17"/>
      <c r="G1170" s="99"/>
      <c r="H1170" s="99"/>
      <c r="I1170" s="613"/>
      <c r="J1170" s="53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</row>
    <row r="1171" spans="1:108" s="2" customFormat="1" ht="24.75" customHeight="1">
      <c r="A1171" s="734" t="s">
        <v>14</v>
      </c>
      <c r="B1171" s="735"/>
      <c r="C1171" s="736"/>
      <c r="D1171" s="18" t="s">
        <v>13</v>
      </c>
      <c r="E1171" s="17">
        <f t="shared" ref="E1171" si="829">E1191+E1256+E1368</f>
        <v>0</v>
      </c>
      <c r="F1171" s="17">
        <f t="shared" ref="F1171:G1171" si="830">F1191+F1256+F1368</f>
        <v>0</v>
      </c>
      <c r="G1171" s="99">
        <f t="shared" si="830"/>
        <v>0</v>
      </c>
      <c r="H1171" s="99">
        <f>H1191+H1256+H1368+H1337</f>
        <v>-841967.6</v>
      </c>
      <c r="I1171" s="613"/>
      <c r="J1171" s="53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</row>
    <row r="1172" spans="1:108" s="2" customFormat="1" ht="16.5" customHeight="1">
      <c r="A1172" s="717" t="s">
        <v>106</v>
      </c>
      <c r="B1172" s="718"/>
      <c r="C1172" s="719"/>
      <c r="D1172" s="20" t="s">
        <v>71</v>
      </c>
      <c r="E1172" s="97">
        <f t="shared" ref="E1172" si="831">E1173+E1175+E1183+E1186+E1179+E1191</f>
        <v>70796000</v>
      </c>
      <c r="F1172" s="97">
        <f t="shared" ref="F1172:H1172" si="832">F1173+F1175+F1183+F1186+F1179+F1191</f>
        <v>60598000</v>
      </c>
      <c r="G1172" s="97">
        <f t="shared" si="832"/>
        <v>10666432</v>
      </c>
      <c r="H1172" s="97">
        <f t="shared" si="832"/>
        <v>7632096.4799999995</v>
      </c>
      <c r="I1172" s="613">
        <f>H1172/F1172</f>
        <v>0.12594634278359021</v>
      </c>
      <c r="J1172" s="53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</row>
    <row r="1173" spans="1:108" s="2" customFormat="1" ht="13.15" customHeight="1">
      <c r="A1173" s="588" t="s">
        <v>4</v>
      </c>
      <c r="B1173" s="22"/>
      <c r="C1173" s="12"/>
      <c r="D1173" s="26" t="s">
        <v>49</v>
      </c>
      <c r="E1173" s="91">
        <f t="shared" ref="E1173:H1173" si="833">E1174</f>
        <v>0</v>
      </c>
      <c r="F1173" s="91">
        <f t="shared" si="833"/>
        <v>0</v>
      </c>
      <c r="G1173" s="479">
        <f t="shared" si="833"/>
        <v>0</v>
      </c>
      <c r="H1173" s="479">
        <f t="shared" si="833"/>
        <v>0</v>
      </c>
      <c r="I1173" s="613"/>
      <c r="J1173" s="53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</row>
    <row r="1174" spans="1:108" s="2" customFormat="1" ht="12.75" hidden="1" customHeight="1">
      <c r="A1174" s="720" t="s">
        <v>105</v>
      </c>
      <c r="B1174" s="721"/>
      <c r="C1174" s="722"/>
      <c r="D1174" s="96" t="s">
        <v>104</v>
      </c>
      <c r="E1174" s="95"/>
      <c r="F1174" s="95"/>
      <c r="G1174" s="480"/>
      <c r="H1174" s="480"/>
      <c r="I1174" s="613"/>
      <c r="J1174" s="53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</row>
    <row r="1175" spans="1:108" s="2" customFormat="1" ht="12.6" customHeight="1">
      <c r="A1175" s="640" t="s">
        <v>25</v>
      </c>
      <c r="B1175" s="641"/>
      <c r="C1175" s="641"/>
      <c r="D1175" s="16">
        <v>56</v>
      </c>
      <c r="E1175" s="15">
        <f t="shared" ref="E1175:H1185" si="834">E221</f>
        <v>0</v>
      </c>
      <c r="F1175" s="15">
        <f t="shared" si="834"/>
        <v>0</v>
      </c>
      <c r="G1175" s="94">
        <f t="shared" si="834"/>
        <v>0</v>
      </c>
      <c r="H1175" s="94">
        <f t="shared" si="834"/>
        <v>0</v>
      </c>
      <c r="I1175" s="613"/>
      <c r="J1175" s="53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</row>
    <row r="1176" spans="1:108" s="2" customFormat="1" ht="14.45" customHeight="1">
      <c r="A1176" s="588"/>
      <c r="B1176" s="35" t="s">
        <v>17</v>
      </c>
      <c r="C1176" s="589"/>
      <c r="D1176" s="16"/>
      <c r="E1176" s="28">
        <f t="shared" si="834"/>
        <v>0</v>
      </c>
      <c r="F1176" s="28">
        <f t="shared" si="834"/>
        <v>0</v>
      </c>
      <c r="G1176" s="10">
        <f t="shared" si="834"/>
        <v>0</v>
      </c>
      <c r="H1176" s="10">
        <f t="shared" si="834"/>
        <v>0</v>
      </c>
      <c r="I1176" s="613"/>
      <c r="J1176" s="53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</row>
    <row r="1177" spans="1:108" s="2" customFormat="1" ht="14.45" customHeight="1">
      <c r="A1177" s="588"/>
      <c r="B1177" s="35" t="s">
        <v>16</v>
      </c>
      <c r="C1177" s="589"/>
      <c r="D1177" s="16"/>
      <c r="E1177" s="28">
        <f t="shared" si="834"/>
        <v>0</v>
      </c>
      <c r="F1177" s="28">
        <f t="shared" si="834"/>
        <v>0</v>
      </c>
      <c r="G1177" s="10">
        <f t="shared" si="834"/>
        <v>0</v>
      </c>
      <c r="H1177" s="10">
        <f t="shared" si="834"/>
        <v>0</v>
      </c>
      <c r="I1177" s="613"/>
      <c r="J1177" s="53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</row>
    <row r="1178" spans="1:108" s="2" customFormat="1" ht="13.15" customHeight="1">
      <c r="A1178" s="588"/>
      <c r="B1178" s="33" t="s">
        <v>15</v>
      </c>
      <c r="C1178" s="589"/>
      <c r="D1178" s="16"/>
      <c r="E1178" s="28">
        <f t="shared" si="834"/>
        <v>0</v>
      </c>
      <c r="F1178" s="28">
        <f t="shared" si="834"/>
        <v>0</v>
      </c>
      <c r="G1178" s="10">
        <f t="shared" si="834"/>
        <v>0</v>
      </c>
      <c r="H1178" s="10">
        <f t="shared" si="834"/>
        <v>0</v>
      </c>
      <c r="I1178" s="613"/>
      <c r="J1178" s="53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</row>
    <row r="1179" spans="1:108" s="2" customFormat="1" ht="12.6" customHeight="1">
      <c r="A1179" s="640" t="s">
        <v>24</v>
      </c>
      <c r="B1179" s="641"/>
      <c r="C1179" s="641"/>
      <c r="D1179" s="16">
        <v>58</v>
      </c>
      <c r="E1179" s="15">
        <f t="shared" si="834"/>
        <v>32976000</v>
      </c>
      <c r="F1179" s="15">
        <f t="shared" si="834"/>
        <v>22778000</v>
      </c>
      <c r="G1179" s="94">
        <f t="shared" si="834"/>
        <v>5546000</v>
      </c>
      <c r="H1179" s="94">
        <f t="shared" si="834"/>
        <v>3582766.53</v>
      </c>
      <c r="I1179" s="613">
        <f>H1179/F1179</f>
        <v>0.1572906545789797</v>
      </c>
      <c r="J1179" s="53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</row>
    <row r="1180" spans="1:108" s="2" customFormat="1" ht="14.45" customHeight="1">
      <c r="A1180" s="588"/>
      <c r="B1180" s="35" t="s">
        <v>17</v>
      </c>
      <c r="C1180" s="589"/>
      <c r="D1180" s="16"/>
      <c r="E1180" s="28">
        <f t="shared" si="834"/>
        <v>0</v>
      </c>
      <c r="F1180" s="28">
        <f t="shared" si="834"/>
        <v>0</v>
      </c>
      <c r="G1180" s="10">
        <f t="shared" si="834"/>
        <v>0</v>
      </c>
      <c r="H1180" s="10">
        <f t="shared" si="834"/>
        <v>0</v>
      </c>
      <c r="I1180" s="613"/>
      <c r="J1180" s="53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</row>
    <row r="1181" spans="1:108" s="2" customFormat="1" ht="14.45" customHeight="1">
      <c r="A1181" s="588"/>
      <c r="B1181" s="35" t="s">
        <v>16</v>
      </c>
      <c r="C1181" s="589"/>
      <c r="D1181" s="16"/>
      <c r="E1181" s="28">
        <f t="shared" si="834"/>
        <v>3468000</v>
      </c>
      <c r="F1181" s="28">
        <f t="shared" si="834"/>
        <v>1892000</v>
      </c>
      <c r="G1181" s="10">
        <f t="shared" si="834"/>
        <v>1029300</v>
      </c>
      <c r="H1181" s="10">
        <f t="shared" si="834"/>
        <v>457082.88</v>
      </c>
      <c r="I1181" s="613">
        <f>H1181/F1181</f>
        <v>0.24158714587737845</v>
      </c>
      <c r="J1181" s="53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</row>
    <row r="1182" spans="1:108" s="2" customFormat="1" ht="13.15" customHeight="1">
      <c r="A1182" s="588"/>
      <c r="B1182" s="33" t="s">
        <v>15</v>
      </c>
      <c r="C1182" s="589"/>
      <c r="D1182" s="16"/>
      <c r="E1182" s="28">
        <f t="shared" si="834"/>
        <v>29508000</v>
      </c>
      <c r="F1182" s="28">
        <f t="shared" si="834"/>
        <v>20886000</v>
      </c>
      <c r="G1182" s="10">
        <f t="shared" si="834"/>
        <v>4516700</v>
      </c>
      <c r="H1182" s="10">
        <f t="shared" si="834"/>
        <v>3125683.65</v>
      </c>
      <c r="I1182" s="613">
        <f>H1182/F1182</f>
        <v>0.14965448865268602</v>
      </c>
      <c r="J1182" s="53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</row>
    <row r="1183" spans="1:108" s="2" customFormat="1" ht="15" customHeight="1">
      <c r="A1183" s="646" t="s">
        <v>23</v>
      </c>
      <c r="B1183" s="647"/>
      <c r="C1183" s="647"/>
      <c r="D1183" s="16">
        <v>70</v>
      </c>
      <c r="E1183" s="94">
        <f t="shared" si="834"/>
        <v>37820000</v>
      </c>
      <c r="F1183" s="94">
        <f t="shared" si="834"/>
        <v>37820000</v>
      </c>
      <c r="G1183" s="94">
        <f t="shared" si="834"/>
        <v>5120432</v>
      </c>
      <c r="H1183" s="94">
        <f t="shared" si="834"/>
        <v>4837588.58</v>
      </c>
      <c r="I1183" s="613">
        <f>H1183/F1183</f>
        <v>0.1279108561607615</v>
      </c>
      <c r="J1183" s="53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</row>
    <row r="1184" spans="1:108" s="2" customFormat="1" ht="13.9" customHeight="1">
      <c r="A1184" s="48"/>
      <c r="B1184" s="35" t="s">
        <v>17</v>
      </c>
      <c r="C1184" s="12"/>
      <c r="D1184" s="16"/>
      <c r="E1184" s="15">
        <f t="shared" si="834"/>
        <v>0</v>
      </c>
      <c r="F1184" s="15">
        <f t="shared" si="834"/>
        <v>0</v>
      </c>
      <c r="G1184" s="94">
        <f t="shared" si="834"/>
        <v>0</v>
      </c>
      <c r="H1184" s="94">
        <f t="shared" si="834"/>
        <v>0</v>
      </c>
      <c r="I1184" s="613"/>
      <c r="J1184" s="53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</row>
    <row r="1185" spans="1:108" s="2" customFormat="1" ht="15" customHeight="1">
      <c r="A1185" s="48"/>
      <c r="B1185" s="35" t="s">
        <v>16</v>
      </c>
      <c r="C1185" s="12"/>
      <c r="D1185" s="16"/>
      <c r="E1185" s="94">
        <f t="shared" si="834"/>
        <v>13929000</v>
      </c>
      <c r="F1185" s="94">
        <f t="shared" si="834"/>
        <v>13929000</v>
      </c>
      <c r="G1185" s="94">
        <f t="shared" si="834"/>
        <v>5120432</v>
      </c>
      <c r="H1185" s="94">
        <f t="shared" si="834"/>
        <v>4837588.58</v>
      </c>
      <c r="I1185" s="613">
        <f>H1185/F1185</f>
        <v>0.34730336564003161</v>
      </c>
      <c r="J1185" s="53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</row>
    <row r="1186" spans="1:108" s="2" customFormat="1" ht="13.15" customHeight="1">
      <c r="A1186" s="48" t="s">
        <v>103</v>
      </c>
      <c r="B1186" s="12"/>
      <c r="C1186" s="12"/>
      <c r="D1186" s="16">
        <v>81</v>
      </c>
      <c r="E1186" s="15">
        <f>E236</f>
        <v>0</v>
      </c>
      <c r="F1186" s="15">
        <f>F236</f>
        <v>0</v>
      </c>
      <c r="G1186" s="94">
        <f>G236</f>
        <v>0</v>
      </c>
      <c r="H1186" s="94">
        <f>H236</f>
        <v>0</v>
      </c>
      <c r="I1186" s="613"/>
      <c r="J1186" s="53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</row>
    <row r="1187" spans="1:108" s="2" customFormat="1" ht="15" customHeight="1">
      <c r="A1187" s="34"/>
      <c r="B1187" s="647" t="s">
        <v>102</v>
      </c>
      <c r="C1187" s="723"/>
      <c r="D1187" s="93">
        <v>81.040000000000006</v>
      </c>
      <c r="E1187" s="15">
        <f t="shared" ref="E1187:H1189" si="835">E236</f>
        <v>0</v>
      </c>
      <c r="F1187" s="15">
        <f t="shared" si="835"/>
        <v>0</v>
      </c>
      <c r="G1187" s="94">
        <f t="shared" si="835"/>
        <v>0</v>
      </c>
      <c r="H1187" s="94">
        <f t="shared" si="835"/>
        <v>0</v>
      </c>
      <c r="I1187" s="613"/>
      <c r="J1187" s="53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</row>
    <row r="1188" spans="1:108" s="2" customFormat="1" ht="15" customHeight="1">
      <c r="A1188" s="588"/>
      <c r="B1188" s="35" t="s">
        <v>16</v>
      </c>
      <c r="C1188" s="589"/>
      <c r="D1188" s="32"/>
      <c r="E1188" s="15">
        <f t="shared" si="835"/>
        <v>0</v>
      </c>
      <c r="F1188" s="15">
        <f t="shared" si="835"/>
        <v>0</v>
      </c>
      <c r="G1188" s="94">
        <f t="shared" si="835"/>
        <v>0</v>
      </c>
      <c r="H1188" s="94">
        <f t="shared" si="835"/>
        <v>0</v>
      </c>
      <c r="I1188" s="613"/>
      <c r="J1188" s="53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</row>
    <row r="1189" spans="1:108" s="2" customFormat="1" ht="15" customHeight="1">
      <c r="A1189" s="588"/>
      <c r="B1189" s="33" t="s">
        <v>15</v>
      </c>
      <c r="C1189" s="589"/>
      <c r="D1189" s="32"/>
      <c r="E1189" s="15">
        <f t="shared" si="835"/>
        <v>0</v>
      </c>
      <c r="F1189" s="15">
        <f t="shared" si="835"/>
        <v>0</v>
      </c>
      <c r="G1189" s="94">
        <f t="shared" si="835"/>
        <v>0</v>
      </c>
      <c r="H1189" s="94">
        <f t="shared" si="835"/>
        <v>0</v>
      </c>
      <c r="I1189" s="613"/>
      <c r="J1189" s="53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</row>
    <row r="1190" spans="1:108" s="2" customFormat="1" ht="13.15" hidden="1" customHeight="1">
      <c r="A1190" s="425"/>
      <c r="B1190" s="92"/>
      <c r="C1190" s="590"/>
      <c r="D1190" s="32"/>
      <c r="E1190" s="15"/>
      <c r="F1190" s="15"/>
      <c r="G1190" s="94"/>
      <c r="H1190" s="94"/>
      <c r="I1190" s="613"/>
      <c r="J1190" s="53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</row>
    <row r="1191" spans="1:108" s="2" customFormat="1" ht="42" customHeight="1">
      <c r="A1191" s="661" t="s">
        <v>14</v>
      </c>
      <c r="B1191" s="662"/>
      <c r="C1191" s="663"/>
      <c r="D1191" s="15" t="s">
        <v>13</v>
      </c>
      <c r="E1191" s="15">
        <f>E241</f>
        <v>0</v>
      </c>
      <c r="F1191" s="15">
        <f>F241</f>
        <v>0</v>
      </c>
      <c r="G1191" s="94">
        <f>G241</f>
        <v>0</v>
      </c>
      <c r="H1191" s="94">
        <f>H241</f>
        <v>-788258.63</v>
      </c>
      <c r="I1191" s="613"/>
      <c r="J1191" s="53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</row>
    <row r="1192" spans="1:108" s="2" customFormat="1" ht="15" customHeight="1">
      <c r="A1192" s="679" t="s">
        <v>101</v>
      </c>
      <c r="B1192" s="680"/>
      <c r="C1192" s="681"/>
      <c r="D1192" s="20" t="s">
        <v>100</v>
      </c>
      <c r="E1192" s="19">
        <f t="shared" ref="E1192" si="836">E1194+E1196+E1199+E1204</f>
        <v>0</v>
      </c>
      <c r="F1192" s="19">
        <f t="shared" ref="F1192:H1192" si="837">F1194+F1196+F1199+F1204</f>
        <v>0</v>
      </c>
      <c r="G1192" s="97">
        <f t="shared" si="837"/>
        <v>0</v>
      </c>
      <c r="H1192" s="97">
        <f t="shared" si="837"/>
        <v>0</v>
      </c>
      <c r="I1192" s="613"/>
      <c r="J1192" s="53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</row>
    <row r="1193" spans="1:108" s="2" customFormat="1" ht="15" customHeight="1">
      <c r="A1193" s="588" t="s">
        <v>4</v>
      </c>
      <c r="B1193" s="22"/>
      <c r="C1193" s="12"/>
      <c r="D1193" s="26" t="s">
        <v>49</v>
      </c>
      <c r="E1193" s="91">
        <f t="shared" ref="E1193" si="838">E1196+E1198+E1201+E1206</f>
        <v>0</v>
      </c>
      <c r="F1193" s="91">
        <f t="shared" ref="F1193:H1193" si="839">F1196+F1198+F1201+F1206</f>
        <v>0</v>
      </c>
      <c r="G1193" s="479">
        <f t="shared" si="839"/>
        <v>0</v>
      </c>
      <c r="H1193" s="479">
        <f t="shared" si="839"/>
        <v>0</v>
      </c>
      <c r="I1193" s="613"/>
      <c r="J1193" s="53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</row>
    <row r="1194" spans="1:108" s="2" customFormat="1" ht="15" hidden="1" customHeight="1">
      <c r="A1194" s="579"/>
      <c r="B1194" s="714" t="s">
        <v>99</v>
      </c>
      <c r="C1194" s="681"/>
      <c r="D1194" s="89" t="s">
        <v>98</v>
      </c>
      <c r="E1194" s="19"/>
      <c r="F1194" s="19"/>
      <c r="G1194" s="97"/>
      <c r="H1194" s="97"/>
      <c r="I1194" s="613"/>
      <c r="J1194" s="53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</row>
    <row r="1195" spans="1:108" s="2" customFormat="1" ht="15" hidden="1" customHeight="1">
      <c r="A1195" s="715" t="s">
        <v>97</v>
      </c>
      <c r="B1195" s="716"/>
      <c r="C1195" s="716"/>
      <c r="D1195" s="90" t="s">
        <v>96</v>
      </c>
      <c r="E1195" s="28"/>
      <c r="F1195" s="28"/>
      <c r="G1195" s="10"/>
      <c r="H1195" s="10"/>
      <c r="I1195" s="613"/>
      <c r="J1195" s="53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</row>
    <row r="1196" spans="1:108" s="2" customFormat="1" ht="15" hidden="1" customHeight="1">
      <c r="A1196" s="579"/>
      <c r="B1196" s="714" t="s">
        <v>95</v>
      </c>
      <c r="C1196" s="681"/>
      <c r="D1196" s="89" t="s">
        <v>94</v>
      </c>
      <c r="E1196" s="19"/>
      <c r="F1196" s="19"/>
      <c r="G1196" s="97"/>
      <c r="H1196" s="97"/>
      <c r="I1196" s="613"/>
      <c r="J1196" s="53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</row>
    <row r="1197" spans="1:108" s="2" customFormat="1" ht="15" hidden="1" customHeight="1">
      <c r="A1197" s="34" t="s">
        <v>93</v>
      </c>
      <c r="B1197" s="36"/>
      <c r="C1197" s="47"/>
      <c r="D1197" s="16">
        <v>79</v>
      </c>
      <c r="E1197" s="78"/>
      <c r="F1197" s="78"/>
      <c r="G1197" s="14"/>
      <c r="H1197" s="14"/>
      <c r="I1197" s="613"/>
      <c r="J1197" s="53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</row>
    <row r="1198" spans="1:108" s="2" customFormat="1" ht="15" hidden="1" customHeight="1">
      <c r="A1198" s="658" t="s">
        <v>92</v>
      </c>
      <c r="B1198" s="659"/>
      <c r="C1198" s="660"/>
      <c r="D1198" s="16">
        <v>81</v>
      </c>
      <c r="E1198" s="15"/>
      <c r="F1198" s="15"/>
      <c r="G1198" s="94"/>
      <c r="H1198" s="94"/>
      <c r="I1198" s="613"/>
      <c r="J1198" s="53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</row>
    <row r="1199" spans="1:108" s="2" customFormat="1" ht="15" customHeight="1">
      <c r="A1199" s="709" t="s">
        <v>91</v>
      </c>
      <c r="B1199" s="710"/>
      <c r="C1199" s="711"/>
      <c r="D1199" s="87" t="s">
        <v>90</v>
      </c>
      <c r="E1199" s="19">
        <f t="shared" ref="E1199:H1200" si="840">E1200</f>
        <v>0</v>
      </c>
      <c r="F1199" s="19">
        <f t="shared" si="840"/>
        <v>0</v>
      </c>
      <c r="G1199" s="97">
        <f t="shared" si="840"/>
        <v>0</v>
      </c>
      <c r="H1199" s="97">
        <f t="shared" si="840"/>
        <v>0</v>
      </c>
      <c r="I1199" s="613"/>
      <c r="J1199" s="53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</row>
    <row r="1200" spans="1:108" s="2" customFormat="1" ht="15" customHeight="1">
      <c r="A1200" s="588" t="s">
        <v>4</v>
      </c>
      <c r="B1200" s="22"/>
      <c r="C1200" s="12"/>
      <c r="D1200" s="21">
        <v>51</v>
      </c>
      <c r="E1200" s="50">
        <f t="shared" si="840"/>
        <v>0</v>
      </c>
      <c r="F1200" s="50">
        <f t="shared" si="840"/>
        <v>0</v>
      </c>
      <c r="G1200" s="473">
        <f t="shared" si="840"/>
        <v>0</v>
      </c>
      <c r="H1200" s="473">
        <f t="shared" si="840"/>
        <v>0</v>
      </c>
      <c r="I1200" s="613"/>
      <c r="J1200" s="53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</row>
    <row r="1201" spans="1:108" s="2" customFormat="1" ht="14.45" customHeight="1">
      <c r="A1201" s="712" t="s">
        <v>87</v>
      </c>
      <c r="B1201" s="713"/>
      <c r="C1201" s="654"/>
      <c r="D1201" s="16" t="s">
        <v>39</v>
      </c>
      <c r="E1201" s="15">
        <f t="shared" ref="E1201:H1203" si="841">E260</f>
        <v>0</v>
      </c>
      <c r="F1201" s="15">
        <f t="shared" si="841"/>
        <v>0</v>
      </c>
      <c r="G1201" s="94">
        <f t="shared" si="841"/>
        <v>0</v>
      </c>
      <c r="H1201" s="94">
        <f t="shared" si="841"/>
        <v>0</v>
      </c>
      <c r="I1201" s="613"/>
      <c r="J1201" s="53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</row>
    <row r="1202" spans="1:108" s="2" customFormat="1" ht="14.45" customHeight="1">
      <c r="A1202" s="48"/>
      <c r="B1202" s="35" t="s">
        <v>17</v>
      </c>
      <c r="C1202" s="12"/>
      <c r="D1202" s="75"/>
      <c r="E1202" s="15">
        <f t="shared" si="841"/>
        <v>0</v>
      </c>
      <c r="F1202" s="15">
        <f t="shared" si="841"/>
        <v>0</v>
      </c>
      <c r="G1202" s="94">
        <f t="shared" si="841"/>
        <v>0</v>
      </c>
      <c r="H1202" s="94">
        <f t="shared" si="841"/>
        <v>0</v>
      </c>
      <c r="I1202" s="613"/>
      <c r="J1202" s="53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</row>
    <row r="1203" spans="1:108" s="2" customFormat="1" ht="13.15" customHeight="1">
      <c r="A1203" s="48"/>
      <c r="B1203" s="35" t="s">
        <v>16</v>
      </c>
      <c r="C1203" s="12"/>
      <c r="D1203" s="88"/>
      <c r="E1203" s="15">
        <f t="shared" si="841"/>
        <v>0</v>
      </c>
      <c r="F1203" s="15">
        <f t="shared" si="841"/>
        <v>0</v>
      </c>
      <c r="G1203" s="94">
        <f t="shared" si="841"/>
        <v>0</v>
      </c>
      <c r="H1203" s="94">
        <f t="shared" si="841"/>
        <v>0</v>
      </c>
      <c r="I1203" s="613"/>
      <c r="J1203" s="53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</row>
    <row r="1204" spans="1:108" s="2" customFormat="1" ht="15" customHeight="1">
      <c r="A1204" s="709" t="s">
        <v>89</v>
      </c>
      <c r="B1204" s="710"/>
      <c r="C1204" s="711"/>
      <c r="D1204" s="87" t="s">
        <v>88</v>
      </c>
      <c r="E1204" s="86">
        <f t="shared" ref="E1204:H1204" si="842">E1205</f>
        <v>0</v>
      </c>
      <c r="F1204" s="86">
        <f t="shared" si="842"/>
        <v>0</v>
      </c>
      <c r="G1204" s="481">
        <f t="shared" si="842"/>
        <v>0</v>
      </c>
      <c r="H1204" s="481">
        <f t="shared" si="842"/>
        <v>0</v>
      </c>
      <c r="I1204" s="613"/>
      <c r="J1204" s="53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</row>
    <row r="1205" spans="1:108" s="2" customFormat="1" ht="13.5" customHeight="1">
      <c r="A1205" s="712" t="s">
        <v>87</v>
      </c>
      <c r="B1205" s="713"/>
      <c r="C1205" s="654"/>
      <c r="D1205" s="16" t="s">
        <v>39</v>
      </c>
      <c r="E1205" s="85">
        <f t="shared" ref="E1205:H1207" si="843">E266</f>
        <v>0</v>
      </c>
      <c r="F1205" s="85">
        <f t="shared" si="843"/>
        <v>0</v>
      </c>
      <c r="G1205" s="471">
        <f t="shared" si="843"/>
        <v>0</v>
      </c>
      <c r="H1205" s="471">
        <f t="shared" si="843"/>
        <v>0</v>
      </c>
      <c r="I1205" s="613"/>
      <c r="J1205" s="53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</row>
    <row r="1206" spans="1:108" s="2" customFormat="1" ht="13.5" customHeight="1">
      <c r="A1206" s="48"/>
      <c r="B1206" s="35" t="s">
        <v>17</v>
      </c>
      <c r="C1206" s="12"/>
      <c r="D1206" s="16"/>
      <c r="E1206" s="15">
        <f t="shared" si="843"/>
        <v>0</v>
      </c>
      <c r="F1206" s="15">
        <f t="shared" si="843"/>
        <v>0</v>
      </c>
      <c r="G1206" s="94">
        <f t="shared" si="843"/>
        <v>0</v>
      </c>
      <c r="H1206" s="94">
        <f t="shared" si="843"/>
        <v>0</v>
      </c>
      <c r="I1206" s="613"/>
      <c r="J1206" s="53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</row>
    <row r="1207" spans="1:108" s="2" customFormat="1" ht="14.25" customHeight="1">
      <c r="A1207" s="48"/>
      <c r="B1207" s="35" t="s">
        <v>16</v>
      </c>
      <c r="C1207" s="12"/>
      <c r="D1207" s="16"/>
      <c r="E1207" s="15">
        <f t="shared" si="843"/>
        <v>0</v>
      </c>
      <c r="F1207" s="15">
        <f t="shared" si="843"/>
        <v>0</v>
      </c>
      <c r="G1207" s="94">
        <f t="shared" si="843"/>
        <v>0</v>
      </c>
      <c r="H1207" s="94">
        <f t="shared" si="843"/>
        <v>0</v>
      </c>
      <c r="I1207" s="613"/>
      <c r="J1207" s="53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</row>
    <row r="1208" spans="1:108" s="2" customFormat="1" ht="14.25" customHeight="1">
      <c r="A1208" s="679" t="s">
        <v>86</v>
      </c>
      <c r="B1208" s="680"/>
      <c r="C1208" s="681"/>
      <c r="D1208" s="20" t="s">
        <v>85</v>
      </c>
      <c r="E1208" s="84">
        <f t="shared" ref="E1208:H1208" si="844">E1209</f>
        <v>35000</v>
      </c>
      <c r="F1208" s="84">
        <f t="shared" si="844"/>
        <v>35000</v>
      </c>
      <c r="G1208" s="482">
        <f t="shared" si="844"/>
        <v>4998</v>
      </c>
      <c r="H1208" s="482">
        <f t="shared" si="844"/>
        <v>4998</v>
      </c>
      <c r="I1208" s="613">
        <f>H1208/F1208</f>
        <v>0.14280000000000001</v>
      </c>
      <c r="J1208" s="53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</row>
    <row r="1209" spans="1:108" s="2" customFormat="1" ht="14.45" customHeight="1">
      <c r="A1209" s="646" t="s">
        <v>23</v>
      </c>
      <c r="B1209" s="647"/>
      <c r="C1209" s="647"/>
      <c r="D1209" s="16">
        <v>70</v>
      </c>
      <c r="E1209" s="83">
        <f t="shared" ref="E1209:H1211" si="845">E274</f>
        <v>35000</v>
      </c>
      <c r="F1209" s="83">
        <f t="shared" si="845"/>
        <v>35000</v>
      </c>
      <c r="G1209" s="483">
        <f t="shared" si="845"/>
        <v>4998</v>
      </c>
      <c r="H1209" s="483">
        <f t="shared" si="845"/>
        <v>4998</v>
      </c>
      <c r="I1209" s="613">
        <f>H1209/F1209</f>
        <v>0.14280000000000001</v>
      </c>
      <c r="J1209" s="53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</row>
    <row r="1210" spans="1:108" s="2" customFormat="1" ht="13.9" customHeight="1">
      <c r="A1210" s="48"/>
      <c r="B1210" s="35" t="s">
        <v>17</v>
      </c>
      <c r="C1210" s="12"/>
      <c r="D1210" s="16"/>
      <c r="E1210" s="83">
        <f t="shared" si="845"/>
        <v>0</v>
      </c>
      <c r="F1210" s="83">
        <f t="shared" si="845"/>
        <v>0</v>
      </c>
      <c r="G1210" s="483">
        <f t="shared" si="845"/>
        <v>0</v>
      </c>
      <c r="H1210" s="483">
        <f t="shared" si="845"/>
        <v>0</v>
      </c>
      <c r="I1210" s="613"/>
      <c r="J1210" s="53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</row>
    <row r="1211" spans="1:108" s="2" customFormat="1" ht="13.15" customHeight="1">
      <c r="A1211" s="48"/>
      <c r="B1211" s="35" t="s">
        <v>16</v>
      </c>
      <c r="C1211" s="12"/>
      <c r="D1211" s="16"/>
      <c r="E1211" s="15">
        <f t="shared" si="845"/>
        <v>35000</v>
      </c>
      <c r="F1211" s="15">
        <f t="shared" si="845"/>
        <v>35000</v>
      </c>
      <c r="G1211" s="94">
        <f t="shared" si="845"/>
        <v>4998</v>
      </c>
      <c r="H1211" s="94">
        <f t="shared" si="845"/>
        <v>4998</v>
      </c>
      <c r="I1211" s="613">
        <f>H1211/F1211</f>
        <v>0.14280000000000001</v>
      </c>
      <c r="J1211" s="53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</row>
    <row r="1212" spans="1:108" s="2" customFormat="1" ht="15.75" customHeight="1">
      <c r="A1212" s="679" t="s">
        <v>84</v>
      </c>
      <c r="B1212" s="680"/>
      <c r="C1212" s="681"/>
      <c r="D1212" s="20" t="s">
        <v>83</v>
      </c>
      <c r="E1212" s="19">
        <f t="shared" ref="E1212:H1212" si="846">E1213</f>
        <v>78000</v>
      </c>
      <c r="F1212" s="19">
        <f t="shared" si="846"/>
        <v>78000</v>
      </c>
      <c r="G1212" s="97">
        <f t="shared" si="846"/>
        <v>0</v>
      </c>
      <c r="H1212" s="97">
        <f t="shared" si="846"/>
        <v>0</v>
      </c>
      <c r="I1212" s="613">
        <f>H1212/F1212</f>
        <v>0</v>
      </c>
      <c r="J1212" s="53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</row>
    <row r="1213" spans="1:108" s="2" customFormat="1" ht="15" customHeight="1">
      <c r="A1213" s="646" t="s">
        <v>23</v>
      </c>
      <c r="B1213" s="647"/>
      <c r="C1213" s="647"/>
      <c r="D1213" s="16">
        <v>70</v>
      </c>
      <c r="E1213" s="15">
        <f t="shared" ref="E1213:H1215" si="847">E279</f>
        <v>78000</v>
      </c>
      <c r="F1213" s="15">
        <f t="shared" si="847"/>
        <v>78000</v>
      </c>
      <c r="G1213" s="94">
        <f t="shared" si="847"/>
        <v>0</v>
      </c>
      <c r="H1213" s="94">
        <f t="shared" si="847"/>
        <v>0</v>
      </c>
      <c r="I1213" s="613">
        <f>H1213/F1213</f>
        <v>0</v>
      </c>
      <c r="J1213" s="53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</row>
    <row r="1214" spans="1:108" s="2" customFormat="1" ht="13.9" customHeight="1">
      <c r="A1214" s="48"/>
      <c r="B1214" s="35" t="s">
        <v>17</v>
      </c>
      <c r="C1214" s="12"/>
      <c r="D1214" s="16"/>
      <c r="E1214" s="15">
        <f t="shared" si="847"/>
        <v>0</v>
      </c>
      <c r="F1214" s="15">
        <f t="shared" si="847"/>
        <v>0</v>
      </c>
      <c r="G1214" s="94">
        <f t="shared" si="847"/>
        <v>0</v>
      </c>
      <c r="H1214" s="94">
        <f t="shared" si="847"/>
        <v>0</v>
      </c>
      <c r="I1214" s="613"/>
      <c r="J1214" s="53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</row>
    <row r="1215" spans="1:108" s="2" customFormat="1" ht="13.15" customHeight="1">
      <c r="A1215" s="48"/>
      <c r="B1215" s="35" t="s">
        <v>16</v>
      </c>
      <c r="C1215" s="12"/>
      <c r="D1215" s="16"/>
      <c r="E1215" s="15">
        <f t="shared" si="847"/>
        <v>78000</v>
      </c>
      <c r="F1215" s="15">
        <f t="shared" si="847"/>
        <v>78000</v>
      </c>
      <c r="G1215" s="94">
        <f t="shared" si="847"/>
        <v>0</v>
      </c>
      <c r="H1215" s="94">
        <f t="shared" si="847"/>
        <v>0</v>
      </c>
      <c r="I1215" s="613">
        <f>H1215/F1215</f>
        <v>0</v>
      </c>
      <c r="J1215" s="53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</row>
    <row r="1216" spans="1:108" s="2" customFormat="1" ht="16.5" customHeight="1">
      <c r="A1216" s="644" t="s">
        <v>82</v>
      </c>
      <c r="B1216" s="645"/>
      <c r="C1216" s="645"/>
      <c r="D1216" s="20" t="s">
        <v>81</v>
      </c>
      <c r="E1216" s="19">
        <f t="shared" ref="E1216:H1216" si="848">E1217</f>
        <v>1428000</v>
      </c>
      <c r="F1216" s="19">
        <f t="shared" si="848"/>
        <v>1416000</v>
      </c>
      <c r="G1216" s="97">
        <f t="shared" si="848"/>
        <v>165423</v>
      </c>
      <c r="H1216" s="97">
        <f t="shared" si="848"/>
        <v>165372.44999999998</v>
      </c>
      <c r="I1216" s="613">
        <f>H1216/F1216</f>
        <v>0.1167884533898305</v>
      </c>
      <c r="J1216" s="53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</row>
    <row r="1217" spans="1:108" s="2" customFormat="1" ht="14.45" customHeight="1">
      <c r="A1217" s="48"/>
      <c r="B1217" s="708" t="s">
        <v>80</v>
      </c>
      <c r="C1217" s="708"/>
      <c r="D1217" s="16"/>
      <c r="E1217" s="17">
        <f t="shared" ref="E1217" si="849">E1218+E1222+E1223</f>
        <v>1428000</v>
      </c>
      <c r="F1217" s="17">
        <f t="shared" ref="F1217:H1217" si="850">F1218+F1222+F1223</f>
        <v>1416000</v>
      </c>
      <c r="G1217" s="99">
        <f t="shared" si="850"/>
        <v>165423</v>
      </c>
      <c r="H1217" s="99">
        <f t="shared" si="850"/>
        <v>165372.44999999998</v>
      </c>
      <c r="I1217" s="613">
        <f>H1217/F1217</f>
        <v>0.1167884533898305</v>
      </c>
      <c r="J1217" s="53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</row>
    <row r="1218" spans="1:108" s="2" customFormat="1" ht="15" customHeight="1">
      <c r="A1218" s="640" t="s">
        <v>77</v>
      </c>
      <c r="B1218" s="641"/>
      <c r="C1218" s="641"/>
      <c r="D1218" s="16">
        <v>58</v>
      </c>
      <c r="E1218" s="82">
        <f t="shared" ref="E1218" si="851">E1219+E1220+E1221</f>
        <v>185000</v>
      </c>
      <c r="F1218" s="82">
        <f t="shared" ref="F1218:H1218" si="852">F1219+F1220+F1221</f>
        <v>185000</v>
      </c>
      <c r="G1218" s="477">
        <f t="shared" si="852"/>
        <v>164852</v>
      </c>
      <c r="H1218" s="477">
        <f t="shared" si="852"/>
        <v>164802.4</v>
      </c>
      <c r="I1218" s="613">
        <f>H1218/F1218</f>
        <v>0.8908237837837838</v>
      </c>
      <c r="J1218" s="53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</row>
    <row r="1219" spans="1:108" s="2" customFormat="1" ht="15" customHeight="1">
      <c r="A1219" s="588"/>
      <c r="B1219" s="35" t="s">
        <v>17</v>
      </c>
      <c r="C1219" s="589"/>
      <c r="D1219" s="16"/>
      <c r="E1219" s="82">
        <f t="shared" ref="E1219" si="853">E1241</f>
        <v>0</v>
      </c>
      <c r="F1219" s="82">
        <f t="shared" ref="F1219:H1219" si="854">F1241</f>
        <v>0</v>
      </c>
      <c r="G1219" s="477">
        <f t="shared" si="854"/>
        <v>0</v>
      </c>
      <c r="H1219" s="477">
        <f t="shared" si="854"/>
        <v>0</v>
      </c>
      <c r="I1219" s="613"/>
      <c r="J1219" s="53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</row>
    <row r="1220" spans="1:108" s="2" customFormat="1" ht="15" customHeight="1">
      <c r="A1220" s="588"/>
      <c r="B1220" s="35" t="s">
        <v>16</v>
      </c>
      <c r="C1220" s="589"/>
      <c r="D1220" s="16"/>
      <c r="E1220" s="82">
        <f t="shared" ref="E1220" si="855">E1234+E1242</f>
        <v>28000</v>
      </c>
      <c r="F1220" s="82">
        <f t="shared" ref="F1220:H1221" si="856">F1234+F1242</f>
        <v>28000</v>
      </c>
      <c r="G1220" s="477">
        <f t="shared" si="856"/>
        <v>24729</v>
      </c>
      <c r="H1220" s="477">
        <f t="shared" si="856"/>
        <v>24722.5</v>
      </c>
      <c r="I1220" s="613">
        <f>H1220/F1220</f>
        <v>0.88294642857142858</v>
      </c>
      <c r="J1220" s="53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</row>
    <row r="1221" spans="1:108" s="2" customFormat="1" ht="15" customHeight="1">
      <c r="A1221" s="588"/>
      <c r="B1221" s="33" t="s">
        <v>15</v>
      </c>
      <c r="C1221" s="589"/>
      <c r="D1221" s="16"/>
      <c r="E1221" s="82">
        <f t="shared" ref="E1221" si="857">E1235+E1243</f>
        <v>157000</v>
      </c>
      <c r="F1221" s="82">
        <f t="shared" si="856"/>
        <v>157000</v>
      </c>
      <c r="G1221" s="477">
        <f t="shared" si="856"/>
        <v>140123</v>
      </c>
      <c r="H1221" s="477">
        <f t="shared" si="856"/>
        <v>140079.9</v>
      </c>
      <c r="I1221" s="613">
        <f>H1221/F1221</f>
        <v>0.89222866242038212</v>
      </c>
      <c r="J1221" s="53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</row>
    <row r="1222" spans="1:108" s="2" customFormat="1" ht="15" customHeight="1">
      <c r="A1222" s="651" t="s">
        <v>4</v>
      </c>
      <c r="B1222" s="652"/>
      <c r="C1222" s="652"/>
      <c r="D1222" s="16" t="s">
        <v>71</v>
      </c>
      <c r="E1222" s="82">
        <f t="shared" ref="E1222" si="858">E1249</f>
        <v>102000</v>
      </c>
      <c r="F1222" s="82">
        <f t="shared" ref="F1222:H1222" si="859">F1249</f>
        <v>90000</v>
      </c>
      <c r="G1222" s="477">
        <f t="shared" si="859"/>
        <v>0</v>
      </c>
      <c r="H1222" s="477">
        <f t="shared" si="859"/>
        <v>0</v>
      </c>
      <c r="I1222" s="613"/>
      <c r="J1222" s="53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</row>
    <row r="1223" spans="1:108" s="2" customFormat="1" ht="13.15" customHeight="1">
      <c r="A1223" s="646" t="s">
        <v>23</v>
      </c>
      <c r="B1223" s="647"/>
      <c r="C1223" s="647"/>
      <c r="D1223" s="16">
        <v>70</v>
      </c>
      <c r="E1223" s="28">
        <f t="shared" ref="E1223" si="860">E1224+E1225</f>
        <v>1141000</v>
      </c>
      <c r="F1223" s="28">
        <f t="shared" ref="F1223:H1223" si="861">F1224+F1225</f>
        <v>1141000</v>
      </c>
      <c r="G1223" s="10">
        <f t="shared" si="861"/>
        <v>571</v>
      </c>
      <c r="H1223" s="10">
        <f t="shared" si="861"/>
        <v>570.04999999999995</v>
      </c>
      <c r="I1223" s="613">
        <f>H1223/F1223</f>
        <v>4.9960560911481151E-4</v>
      </c>
      <c r="J1223" s="53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</row>
    <row r="1224" spans="1:108" s="2" customFormat="1" ht="13.15" customHeight="1">
      <c r="A1224" s="48"/>
      <c r="B1224" s="35" t="s">
        <v>17</v>
      </c>
      <c r="C1224" s="12"/>
      <c r="D1224" s="16"/>
      <c r="E1224" s="28">
        <f t="shared" ref="E1224" si="862">E1229+E1245</f>
        <v>0</v>
      </c>
      <c r="F1224" s="28">
        <f t="shared" ref="F1224:H1224" si="863">F1229+F1245</f>
        <v>0</v>
      </c>
      <c r="G1224" s="10">
        <f t="shared" si="863"/>
        <v>0</v>
      </c>
      <c r="H1224" s="10">
        <f t="shared" si="863"/>
        <v>0</v>
      </c>
      <c r="I1224" s="613"/>
      <c r="J1224" s="53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</row>
    <row r="1225" spans="1:108" s="2" customFormat="1" ht="14.45" customHeight="1">
      <c r="A1225" s="48"/>
      <c r="B1225" s="35" t="s">
        <v>16</v>
      </c>
      <c r="C1225" s="12"/>
      <c r="D1225" s="16"/>
      <c r="E1225" s="28">
        <f t="shared" ref="E1225" si="864">E1230+E1246+E1238</f>
        <v>1141000</v>
      </c>
      <c r="F1225" s="28">
        <f t="shared" ref="F1225:H1225" si="865">F1230+F1246+F1238</f>
        <v>1141000</v>
      </c>
      <c r="G1225" s="10">
        <f t="shared" si="865"/>
        <v>571</v>
      </c>
      <c r="H1225" s="10">
        <f t="shared" si="865"/>
        <v>570.04999999999995</v>
      </c>
      <c r="I1225" s="613">
        <f>H1225/F1225</f>
        <v>4.9960560911481151E-4</v>
      </c>
      <c r="J1225" s="53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</row>
    <row r="1226" spans="1:108" s="2" customFormat="1" ht="14.45" customHeight="1">
      <c r="A1226" s="81"/>
      <c r="B1226" s="80"/>
      <c r="C1226" s="79"/>
      <c r="D1226" s="16"/>
      <c r="E1226" s="28"/>
      <c r="F1226" s="28"/>
      <c r="G1226" s="10"/>
      <c r="H1226" s="10"/>
      <c r="I1226" s="613"/>
      <c r="J1226" s="53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</row>
    <row r="1227" spans="1:108" s="2" customFormat="1" ht="15" customHeight="1">
      <c r="A1227" s="685" t="s">
        <v>79</v>
      </c>
      <c r="B1227" s="686"/>
      <c r="C1227" s="687"/>
      <c r="D1227" s="18" t="s">
        <v>73</v>
      </c>
      <c r="E1227" s="53">
        <f t="shared" ref="E1227:H1227" si="866">E1228</f>
        <v>1141000</v>
      </c>
      <c r="F1227" s="53">
        <f t="shared" si="866"/>
        <v>1141000</v>
      </c>
      <c r="G1227" s="470">
        <f t="shared" si="866"/>
        <v>571</v>
      </c>
      <c r="H1227" s="470">
        <f t="shared" si="866"/>
        <v>570.04999999999995</v>
      </c>
      <c r="I1227" s="613">
        <f>H1227/F1227</f>
        <v>4.9960560911481151E-4</v>
      </c>
      <c r="J1227" s="53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</row>
    <row r="1228" spans="1:108" s="2" customFormat="1" ht="13.9" customHeight="1">
      <c r="A1228" s="646" t="s">
        <v>23</v>
      </c>
      <c r="B1228" s="647"/>
      <c r="C1228" s="647"/>
      <c r="D1228" s="16">
        <v>70</v>
      </c>
      <c r="E1228" s="15">
        <f t="shared" ref="E1228:H1230" si="867">E318</f>
        <v>1141000</v>
      </c>
      <c r="F1228" s="15">
        <f t="shared" si="867"/>
        <v>1141000</v>
      </c>
      <c r="G1228" s="94">
        <f t="shared" si="867"/>
        <v>571</v>
      </c>
      <c r="H1228" s="94">
        <f t="shared" si="867"/>
        <v>570.04999999999995</v>
      </c>
      <c r="I1228" s="613">
        <f>H1228/F1228</f>
        <v>4.9960560911481151E-4</v>
      </c>
      <c r="J1228" s="53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</row>
    <row r="1229" spans="1:108" s="2" customFormat="1" ht="13.9" customHeight="1">
      <c r="A1229" s="48"/>
      <c r="B1229" s="35" t="s">
        <v>17</v>
      </c>
      <c r="C1229" s="12"/>
      <c r="D1229" s="59"/>
      <c r="E1229" s="15">
        <f t="shared" si="867"/>
        <v>0</v>
      </c>
      <c r="F1229" s="15">
        <f t="shared" si="867"/>
        <v>0</v>
      </c>
      <c r="G1229" s="94">
        <f t="shared" si="867"/>
        <v>0</v>
      </c>
      <c r="H1229" s="94">
        <f t="shared" si="867"/>
        <v>0</v>
      </c>
      <c r="I1229" s="613"/>
      <c r="J1229" s="53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</row>
    <row r="1230" spans="1:108" s="2" customFormat="1" ht="13.9" customHeight="1">
      <c r="A1230" s="48"/>
      <c r="B1230" s="35" t="s">
        <v>16</v>
      </c>
      <c r="C1230" s="12"/>
      <c r="D1230" s="59"/>
      <c r="E1230" s="15">
        <f t="shared" si="867"/>
        <v>1141000</v>
      </c>
      <c r="F1230" s="15">
        <f t="shared" si="867"/>
        <v>1141000</v>
      </c>
      <c r="G1230" s="94">
        <f t="shared" si="867"/>
        <v>571</v>
      </c>
      <c r="H1230" s="94">
        <f t="shared" si="867"/>
        <v>570.04999999999995</v>
      </c>
      <c r="I1230" s="613">
        <f>H1230/F1230</f>
        <v>4.9960560911481151E-4</v>
      </c>
      <c r="J1230" s="53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</row>
    <row r="1231" spans="1:108" s="2" customFormat="1" ht="16.149999999999999" customHeight="1">
      <c r="A1231" s="685" t="s">
        <v>78</v>
      </c>
      <c r="B1231" s="686"/>
      <c r="C1231" s="687"/>
      <c r="D1231" s="18" t="s">
        <v>73</v>
      </c>
      <c r="E1231" s="17">
        <f t="shared" ref="E1231" si="868">E1232+E1236</f>
        <v>0</v>
      </c>
      <c r="F1231" s="17">
        <f t="shared" ref="F1231:H1231" si="869">F1232+F1236</f>
        <v>0</v>
      </c>
      <c r="G1231" s="99">
        <f t="shared" si="869"/>
        <v>0</v>
      </c>
      <c r="H1231" s="99">
        <f t="shared" si="869"/>
        <v>0</v>
      </c>
      <c r="I1231" s="613"/>
      <c r="J1231" s="53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</row>
    <row r="1232" spans="1:108" s="2" customFormat="1" ht="13.9" customHeight="1">
      <c r="A1232" s="640" t="s">
        <v>77</v>
      </c>
      <c r="B1232" s="641"/>
      <c r="C1232" s="641"/>
      <c r="D1232" s="16">
        <v>58</v>
      </c>
      <c r="E1232" s="15">
        <f t="shared" ref="E1232:H1235" si="870">E325</f>
        <v>0</v>
      </c>
      <c r="F1232" s="15">
        <f t="shared" si="870"/>
        <v>0</v>
      </c>
      <c r="G1232" s="94">
        <f t="shared" si="870"/>
        <v>0</v>
      </c>
      <c r="H1232" s="94">
        <f t="shared" si="870"/>
        <v>0</v>
      </c>
      <c r="I1232" s="613"/>
      <c r="J1232" s="53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</row>
    <row r="1233" spans="1:108" s="2" customFormat="1" ht="13.15" customHeight="1">
      <c r="A1233" s="588"/>
      <c r="B1233" s="35" t="s">
        <v>17</v>
      </c>
      <c r="C1233" s="589"/>
      <c r="D1233" s="16"/>
      <c r="E1233" s="15">
        <f t="shared" si="870"/>
        <v>0</v>
      </c>
      <c r="F1233" s="15">
        <f t="shared" si="870"/>
        <v>0</v>
      </c>
      <c r="G1233" s="94">
        <f t="shared" si="870"/>
        <v>0</v>
      </c>
      <c r="H1233" s="94">
        <f t="shared" si="870"/>
        <v>0</v>
      </c>
      <c r="I1233" s="613"/>
      <c r="J1233" s="53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</row>
    <row r="1234" spans="1:108" s="2" customFormat="1" ht="14.45" customHeight="1">
      <c r="A1234" s="588"/>
      <c r="B1234" s="35" t="s">
        <v>16</v>
      </c>
      <c r="C1234" s="589"/>
      <c r="D1234" s="16"/>
      <c r="E1234" s="15">
        <f t="shared" si="870"/>
        <v>0</v>
      </c>
      <c r="F1234" s="15">
        <f t="shared" si="870"/>
        <v>0</v>
      </c>
      <c r="G1234" s="94">
        <f t="shared" si="870"/>
        <v>0</v>
      </c>
      <c r="H1234" s="94">
        <f t="shared" si="870"/>
        <v>0</v>
      </c>
      <c r="I1234" s="613"/>
      <c r="J1234" s="53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</row>
    <row r="1235" spans="1:108" s="2" customFormat="1" ht="12.6" customHeight="1">
      <c r="A1235" s="588"/>
      <c r="B1235" s="33" t="s">
        <v>15</v>
      </c>
      <c r="C1235" s="589"/>
      <c r="D1235" s="16"/>
      <c r="E1235" s="15">
        <f t="shared" si="870"/>
        <v>0</v>
      </c>
      <c r="F1235" s="15">
        <f t="shared" si="870"/>
        <v>0</v>
      </c>
      <c r="G1235" s="94">
        <f t="shared" si="870"/>
        <v>0</v>
      </c>
      <c r="H1235" s="94">
        <f t="shared" si="870"/>
        <v>0</v>
      </c>
      <c r="I1235" s="613"/>
      <c r="J1235" s="53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</row>
    <row r="1236" spans="1:108" s="2" customFormat="1" ht="12" customHeight="1">
      <c r="A1236" s="646" t="s">
        <v>23</v>
      </c>
      <c r="B1236" s="647"/>
      <c r="C1236" s="647"/>
      <c r="D1236" s="16">
        <v>70</v>
      </c>
      <c r="E1236" s="15">
        <f t="shared" ref="E1236:H1238" si="871">E333</f>
        <v>0</v>
      </c>
      <c r="F1236" s="15">
        <f t="shared" si="871"/>
        <v>0</v>
      </c>
      <c r="G1236" s="94">
        <f t="shared" si="871"/>
        <v>0</v>
      </c>
      <c r="H1236" s="94">
        <f t="shared" si="871"/>
        <v>0</v>
      </c>
      <c r="I1236" s="613"/>
      <c r="J1236" s="53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</row>
    <row r="1237" spans="1:108" s="2" customFormat="1" ht="13.9" customHeight="1">
      <c r="A1237" s="48"/>
      <c r="B1237" s="35" t="s">
        <v>17</v>
      </c>
      <c r="C1237" s="12"/>
      <c r="D1237" s="16"/>
      <c r="E1237" s="15">
        <f t="shared" si="871"/>
        <v>0</v>
      </c>
      <c r="F1237" s="15">
        <f t="shared" si="871"/>
        <v>0</v>
      </c>
      <c r="G1237" s="94">
        <f t="shared" si="871"/>
        <v>0</v>
      </c>
      <c r="H1237" s="94">
        <f t="shared" si="871"/>
        <v>0</v>
      </c>
      <c r="I1237" s="613"/>
      <c r="J1237" s="53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</row>
    <row r="1238" spans="1:108" s="2" customFormat="1" ht="13.5" customHeight="1">
      <c r="A1238" s="48"/>
      <c r="B1238" s="35" t="s">
        <v>16</v>
      </c>
      <c r="C1238" s="12"/>
      <c r="D1238" s="16"/>
      <c r="E1238" s="15">
        <f t="shared" si="871"/>
        <v>0</v>
      </c>
      <c r="F1238" s="15">
        <f t="shared" si="871"/>
        <v>0</v>
      </c>
      <c r="G1238" s="94">
        <f t="shared" si="871"/>
        <v>0</v>
      </c>
      <c r="H1238" s="94">
        <f t="shared" si="871"/>
        <v>0</v>
      </c>
      <c r="I1238" s="613"/>
      <c r="J1238" s="53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</row>
    <row r="1239" spans="1:108" s="2" customFormat="1" ht="15.6" customHeight="1">
      <c r="A1239" s="685" t="s">
        <v>76</v>
      </c>
      <c r="B1239" s="686"/>
      <c r="C1239" s="687"/>
      <c r="D1239" s="18" t="s">
        <v>73</v>
      </c>
      <c r="E1239" s="53">
        <f t="shared" ref="E1239" si="872">E1244+E1240+E1247</f>
        <v>185000</v>
      </c>
      <c r="F1239" s="53">
        <f t="shared" ref="F1239:H1239" si="873">F1244+F1240+F1247</f>
        <v>185000</v>
      </c>
      <c r="G1239" s="470">
        <f t="shared" si="873"/>
        <v>164852</v>
      </c>
      <c r="H1239" s="470">
        <f t="shared" si="873"/>
        <v>164802.4</v>
      </c>
      <c r="I1239" s="613">
        <f>H1239/F1239</f>
        <v>0.8908237837837838</v>
      </c>
      <c r="J1239" s="53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</row>
    <row r="1240" spans="1:108" s="2" customFormat="1" ht="15" customHeight="1">
      <c r="A1240" s="640" t="s">
        <v>75</v>
      </c>
      <c r="B1240" s="641"/>
      <c r="C1240" s="641"/>
      <c r="D1240" s="16">
        <v>58</v>
      </c>
      <c r="E1240" s="15">
        <f t="shared" ref="E1240" si="874">E1241+E1242+E1243</f>
        <v>185000</v>
      </c>
      <c r="F1240" s="15">
        <f t="shared" ref="F1240:H1240" si="875">F1241+F1242+F1243</f>
        <v>185000</v>
      </c>
      <c r="G1240" s="94">
        <f t="shared" si="875"/>
        <v>164852</v>
      </c>
      <c r="H1240" s="94">
        <f t="shared" si="875"/>
        <v>164802.4</v>
      </c>
      <c r="I1240" s="613">
        <f>H1240/F1240</f>
        <v>0.8908237837837838</v>
      </c>
      <c r="J1240" s="53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</row>
    <row r="1241" spans="1:108" s="2" customFormat="1" ht="13.15" customHeight="1">
      <c r="A1241" s="588"/>
      <c r="B1241" s="35" t="s">
        <v>17</v>
      </c>
      <c r="C1241" s="589"/>
      <c r="D1241" s="16"/>
      <c r="E1241" s="15">
        <f t="shared" ref="E1241:H1244" si="876">E342</f>
        <v>0</v>
      </c>
      <c r="F1241" s="15">
        <f t="shared" si="876"/>
        <v>0</v>
      </c>
      <c r="G1241" s="94">
        <f t="shared" si="876"/>
        <v>0</v>
      </c>
      <c r="H1241" s="94">
        <f t="shared" si="876"/>
        <v>0</v>
      </c>
      <c r="I1241" s="613"/>
      <c r="J1241" s="53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</row>
    <row r="1242" spans="1:108" s="2" customFormat="1" ht="13.15" customHeight="1">
      <c r="A1242" s="588"/>
      <c r="B1242" s="35" t="s">
        <v>16</v>
      </c>
      <c r="C1242" s="589"/>
      <c r="D1242" s="16"/>
      <c r="E1242" s="15">
        <f t="shared" si="876"/>
        <v>28000</v>
      </c>
      <c r="F1242" s="15">
        <f t="shared" si="876"/>
        <v>28000</v>
      </c>
      <c r="G1242" s="94">
        <f t="shared" si="876"/>
        <v>24729</v>
      </c>
      <c r="H1242" s="94">
        <f t="shared" si="876"/>
        <v>24722.5</v>
      </c>
      <c r="I1242" s="613">
        <f>H1242/F1242</f>
        <v>0.88294642857142858</v>
      </c>
      <c r="J1242" s="53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</row>
    <row r="1243" spans="1:108" s="2" customFormat="1" ht="16.5" customHeight="1">
      <c r="A1243" s="588"/>
      <c r="B1243" s="589" t="s">
        <v>15</v>
      </c>
      <c r="C1243" s="589"/>
      <c r="D1243" s="16"/>
      <c r="E1243" s="15">
        <f t="shared" si="876"/>
        <v>157000</v>
      </c>
      <c r="F1243" s="15">
        <f t="shared" si="876"/>
        <v>157000</v>
      </c>
      <c r="G1243" s="94">
        <f t="shared" si="876"/>
        <v>140123</v>
      </c>
      <c r="H1243" s="94">
        <f t="shared" si="876"/>
        <v>140079.9</v>
      </c>
      <c r="I1243" s="613">
        <f>H1243/F1243</f>
        <v>0.89222866242038212</v>
      </c>
      <c r="J1243" s="53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</row>
    <row r="1244" spans="1:108" s="2" customFormat="1" ht="15" customHeight="1">
      <c r="A1244" s="646" t="s">
        <v>23</v>
      </c>
      <c r="B1244" s="647"/>
      <c r="C1244" s="647"/>
      <c r="D1244" s="16">
        <v>70</v>
      </c>
      <c r="E1244" s="15">
        <f t="shared" si="876"/>
        <v>0</v>
      </c>
      <c r="F1244" s="15">
        <f t="shared" si="876"/>
        <v>0</v>
      </c>
      <c r="G1244" s="94">
        <f t="shared" si="876"/>
        <v>0</v>
      </c>
      <c r="H1244" s="94">
        <f t="shared" si="876"/>
        <v>0</v>
      </c>
      <c r="I1244" s="613"/>
      <c r="J1244" s="53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</row>
    <row r="1245" spans="1:108" s="2" customFormat="1" ht="14.45" customHeight="1">
      <c r="A1245" s="48"/>
      <c r="B1245" s="35" t="s">
        <v>17</v>
      </c>
      <c r="C1245" s="12"/>
      <c r="D1245" s="16"/>
      <c r="E1245" s="15">
        <f t="shared" ref="E1245:H1246" si="877">E347</f>
        <v>0</v>
      </c>
      <c r="F1245" s="15">
        <f t="shared" si="877"/>
        <v>0</v>
      </c>
      <c r="G1245" s="94">
        <f t="shared" si="877"/>
        <v>0</v>
      </c>
      <c r="H1245" s="94">
        <f t="shared" si="877"/>
        <v>0</v>
      </c>
      <c r="I1245" s="613"/>
      <c r="J1245" s="53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</row>
    <row r="1246" spans="1:108" s="2" customFormat="1" ht="15" customHeight="1">
      <c r="A1246" s="48"/>
      <c r="B1246" s="35" t="s">
        <v>16</v>
      </c>
      <c r="C1246" s="12"/>
      <c r="D1246" s="16"/>
      <c r="E1246" s="15">
        <f t="shared" si="877"/>
        <v>0</v>
      </c>
      <c r="F1246" s="15">
        <f t="shared" si="877"/>
        <v>0</v>
      </c>
      <c r="G1246" s="94">
        <f t="shared" si="877"/>
        <v>0</v>
      </c>
      <c r="H1246" s="94">
        <f t="shared" si="877"/>
        <v>0</v>
      </c>
      <c r="I1246" s="613"/>
      <c r="J1246" s="53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</row>
    <row r="1247" spans="1:108" s="2" customFormat="1" ht="15" customHeight="1">
      <c r="A1247" s="703" t="s">
        <v>666</v>
      </c>
      <c r="B1247" s="704"/>
      <c r="C1247" s="705"/>
      <c r="D1247" s="16">
        <v>85</v>
      </c>
      <c r="E1247" s="15">
        <f>E351</f>
        <v>0</v>
      </c>
      <c r="F1247" s="15">
        <f>F351</f>
        <v>0</v>
      </c>
      <c r="G1247" s="94">
        <f>G351</f>
        <v>0</v>
      </c>
      <c r="H1247" s="94">
        <f>H351</f>
        <v>0</v>
      </c>
      <c r="I1247" s="613"/>
      <c r="J1247" s="53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</row>
    <row r="1248" spans="1:108" s="2" customFormat="1" ht="15" customHeight="1">
      <c r="A1248" s="685" t="s">
        <v>74</v>
      </c>
      <c r="B1248" s="686"/>
      <c r="C1248" s="687"/>
      <c r="D1248" s="18" t="s">
        <v>73</v>
      </c>
      <c r="E1248" s="53">
        <f t="shared" ref="E1248:H1249" si="878">E1249</f>
        <v>102000</v>
      </c>
      <c r="F1248" s="53">
        <f t="shared" si="878"/>
        <v>90000</v>
      </c>
      <c r="G1248" s="470">
        <f t="shared" si="878"/>
        <v>0</v>
      </c>
      <c r="H1248" s="470">
        <f t="shared" si="878"/>
        <v>0</v>
      </c>
      <c r="I1248" s="613"/>
      <c r="J1248" s="53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</row>
    <row r="1249" spans="1:108" s="2" customFormat="1" ht="15" customHeight="1">
      <c r="A1249" s="621" t="s">
        <v>4</v>
      </c>
      <c r="B1249" s="15"/>
      <c r="C1249" s="15"/>
      <c r="D1249" s="16">
        <v>51</v>
      </c>
      <c r="E1249" s="15">
        <f t="shared" si="878"/>
        <v>102000</v>
      </c>
      <c r="F1249" s="15">
        <f t="shared" si="878"/>
        <v>90000</v>
      </c>
      <c r="G1249" s="94">
        <f t="shared" si="878"/>
        <v>0</v>
      </c>
      <c r="H1249" s="94">
        <f t="shared" si="878"/>
        <v>0</v>
      </c>
      <c r="I1249" s="613"/>
      <c r="J1249" s="53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</row>
    <row r="1250" spans="1:108" s="2" customFormat="1" ht="15" customHeight="1">
      <c r="A1250" s="621"/>
      <c r="B1250" s="706" t="s">
        <v>72</v>
      </c>
      <c r="C1250" s="707"/>
      <c r="D1250" s="16" t="s">
        <v>71</v>
      </c>
      <c r="E1250" s="15">
        <f>E362</f>
        <v>102000</v>
      </c>
      <c r="F1250" s="15">
        <f>F362</f>
        <v>90000</v>
      </c>
      <c r="G1250" s="94">
        <f>G362</f>
        <v>0</v>
      </c>
      <c r="H1250" s="94">
        <f>H362</f>
        <v>0</v>
      </c>
      <c r="I1250" s="613"/>
      <c r="J1250" s="53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</row>
    <row r="1251" spans="1:108" s="2" customFormat="1" ht="15.75" customHeight="1">
      <c r="A1251" s="693" t="s">
        <v>70</v>
      </c>
      <c r="B1251" s="694"/>
      <c r="C1251" s="695"/>
      <c r="D1251" s="20" t="s">
        <v>69</v>
      </c>
      <c r="E1251" s="19">
        <f t="shared" ref="E1251:G1251" si="879">E1252</f>
        <v>3492000</v>
      </c>
      <c r="F1251" s="19">
        <f t="shared" si="879"/>
        <v>3492000</v>
      </c>
      <c r="G1251" s="97">
        <f t="shared" si="879"/>
        <v>72533</v>
      </c>
      <c r="H1251" s="97">
        <f>H1252+H1256</f>
        <v>26393.510000000002</v>
      </c>
      <c r="I1251" s="613">
        <f>H1251/F1251</f>
        <v>7.5582789232531509E-3</v>
      </c>
      <c r="J1251" s="53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</row>
    <row r="1252" spans="1:108" s="2" customFormat="1" ht="23.25" customHeight="1">
      <c r="A1252" s="696" t="s">
        <v>68</v>
      </c>
      <c r="B1252" s="697"/>
      <c r="C1252" s="698"/>
      <c r="D1252" s="18">
        <v>51</v>
      </c>
      <c r="E1252" s="17">
        <f t="shared" ref="E1252" si="880">E1257+E1267+E1271</f>
        <v>3492000</v>
      </c>
      <c r="F1252" s="17">
        <f t="shared" ref="F1252:H1252" si="881">F1257+F1267+F1271</f>
        <v>3492000</v>
      </c>
      <c r="G1252" s="99">
        <f t="shared" si="881"/>
        <v>72533</v>
      </c>
      <c r="H1252" s="99">
        <f t="shared" si="881"/>
        <v>72530.36</v>
      </c>
      <c r="I1252" s="613">
        <f>H1252/F1252</f>
        <v>2.0770435280641465E-2</v>
      </c>
      <c r="J1252" s="53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</row>
    <row r="1253" spans="1:108" s="2" customFormat="1" ht="15" customHeight="1">
      <c r="A1253" s="588"/>
      <c r="B1253" s="699" t="s">
        <v>40</v>
      </c>
      <c r="C1253" s="700"/>
      <c r="D1253" s="21" t="s">
        <v>39</v>
      </c>
      <c r="E1253" s="78">
        <f t="shared" ref="E1253:H1255" si="882">E379</f>
        <v>3492000</v>
      </c>
      <c r="F1253" s="78">
        <f t="shared" si="882"/>
        <v>3492000</v>
      </c>
      <c r="G1253" s="14">
        <f t="shared" si="882"/>
        <v>72533</v>
      </c>
      <c r="H1253" s="14">
        <f t="shared" si="882"/>
        <v>72530.36</v>
      </c>
      <c r="I1253" s="613">
        <f>H1253/F1253</f>
        <v>2.0770435280641465E-2</v>
      </c>
      <c r="J1253" s="53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</row>
    <row r="1254" spans="1:108" s="2" customFormat="1" ht="13.15" customHeight="1">
      <c r="A1254" s="588"/>
      <c r="B1254" s="77"/>
      <c r="C1254" s="35" t="s">
        <v>17</v>
      </c>
      <c r="D1254" s="12"/>
      <c r="E1254" s="28">
        <f t="shared" si="882"/>
        <v>0</v>
      </c>
      <c r="F1254" s="28">
        <f t="shared" si="882"/>
        <v>0</v>
      </c>
      <c r="G1254" s="10">
        <f t="shared" si="882"/>
        <v>0</v>
      </c>
      <c r="H1254" s="10">
        <f t="shared" si="882"/>
        <v>0</v>
      </c>
      <c r="I1254" s="613"/>
      <c r="J1254" s="53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</row>
    <row r="1255" spans="1:108" s="2" customFormat="1" ht="15" customHeight="1">
      <c r="A1255" s="588"/>
      <c r="B1255" s="77"/>
      <c r="C1255" s="35" t="s">
        <v>16</v>
      </c>
      <c r="D1255" s="12"/>
      <c r="E1255" s="28">
        <f t="shared" si="882"/>
        <v>3492000</v>
      </c>
      <c r="F1255" s="28">
        <f t="shared" si="882"/>
        <v>3492000</v>
      </c>
      <c r="G1255" s="10">
        <f t="shared" si="882"/>
        <v>72533</v>
      </c>
      <c r="H1255" s="10">
        <f t="shared" si="882"/>
        <v>72530.36</v>
      </c>
      <c r="I1255" s="613">
        <f>H1255/F1255</f>
        <v>2.0770435280641465E-2</v>
      </c>
      <c r="J1255" s="53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</row>
    <row r="1256" spans="1:108" s="2" customFormat="1" ht="37.5" customHeight="1">
      <c r="A1256" s="661" t="s">
        <v>14</v>
      </c>
      <c r="B1256" s="662"/>
      <c r="C1256" s="663"/>
      <c r="D1256" s="15" t="s">
        <v>13</v>
      </c>
      <c r="E1256" s="28"/>
      <c r="F1256" s="28"/>
      <c r="G1256" s="10"/>
      <c r="H1256" s="10">
        <f>H387</f>
        <v>-46136.85</v>
      </c>
      <c r="I1256" s="613"/>
      <c r="J1256" s="53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</row>
    <row r="1257" spans="1:108" s="2" customFormat="1" ht="15" customHeight="1">
      <c r="A1257" s="48"/>
      <c r="B1257" s="655" t="s">
        <v>67</v>
      </c>
      <c r="C1257" s="656"/>
      <c r="D1257" s="18" t="s">
        <v>44</v>
      </c>
      <c r="E1257" s="53">
        <f t="shared" ref="E1257" si="883">E1262+E1266</f>
        <v>3492000</v>
      </c>
      <c r="F1257" s="53">
        <f t="shared" ref="F1257:H1257" si="884">F1262+F1266</f>
        <v>3492000</v>
      </c>
      <c r="G1257" s="470">
        <f t="shared" si="884"/>
        <v>72533</v>
      </c>
      <c r="H1257" s="470">
        <f t="shared" si="884"/>
        <v>72530.36</v>
      </c>
      <c r="I1257" s="613">
        <f t="shared" ref="I1257:I1262" si="885">H1257/F1257</f>
        <v>2.0770435280641465E-2</v>
      </c>
      <c r="J1257" s="53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</row>
    <row r="1258" spans="1:108" s="2" customFormat="1" ht="15" hidden="1" customHeight="1">
      <c r="A1258" s="51"/>
      <c r="B1258" s="65" t="s">
        <v>53</v>
      </c>
      <c r="C1258" s="64"/>
      <c r="D1258" s="21" t="s">
        <v>39</v>
      </c>
      <c r="E1258" s="15"/>
      <c r="F1258" s="15"/>
      <c r="G1258" s="94"/>
      <c r="H1258" s="94"/>
      <c r="I1258" s="613" t="e">
        <f t="shared" si="885"/>
        <v>#DIV/0!</v>
      </c>
      <c r="J1258" s="53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</row>
    <row r="1259" spans="1:108" s="2" customFormat="1" ht="15" hidden="1" customHeight="1">
      <c r="A1259" s="588"/>
      <c r="B1259" s="36"/>
      <c r="C1259" s="35" t="s">
        <v>17</v>
      </c>
      <c r="D1259" s="26"/>
      <c r="E1259" s="15"/>
      <c r="F1259" s="15"/>
      <c r="G1259" s="94"/>
      <c r="H1259" s="94"/>
      <c r="I1259" s="613" t="e">
        <f t="shared" si="885"/>
        <v>#DIV/0!</v>
      </c>
      <c r="J1259" s="53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</row>
    <row r="1260" spans="1:108" s="2" customFormat="1" ht="15" hidden="1" customHeight="1">
      <c r="A1260" s="588"/>
      <c r="B1260" s="36"/>
      <c r="C1260" s="35" t="s">
        <v>16</v>
      </c>
      <c r="D1260" s="26"/>
      <c r="E1260" s="53"/>
      <c r="F1260" s="53"/>
      <c r="G1260" s="470"/>
      <c r="H1260" s="470"/>
      <c r="I1260" s="613" t="e">
        <f t="shared" si="885"/>
        <v>#DIV/0!</v>
      </c>
      <c r="J1260" s="53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</row>
    <row r="1261" spans="1:108" s="2" customFormat="1" ht="15" hidden="1" customHeight="1">
      <c r="A1261" s="588"/>
      <c r="B1261" s="589"/>
      <c r="C1261" s="33" t="s">
        <v>15</v>
      </c>
      <c r="D1261" s="26"/>
      <c r="E1261" s="53"/>
      <c r="F1261" s="53"/>
      <c r="G1261" s="470"/>
      <c r="H1261" s="470"/>
      <c r="I1261" s="613" t="e">
        <f t="shared" si="885"/>
        <v>#DIV/0!</v>
      </c>
      <c r="J1261" s="53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</row>
    <row r="1262" spans="1:108" s="2" customFormat="1" ht="15" customHeight="1">
      <c r="A1262" s="51"/>
      <c r="B1262" s="65" t="s">
        <v>40</v>
      </c>
      <c r="C1262" s="64"/>
      <c r="D1262" s="76"/>
      <c r="E1262" s="15">
        <f t="shared" ref="E1262" si="886">E1263+E1264</f>
        <v>3492000</v>
      </c>
      <c r="F1262" s="15">
        <f t="shared" ref="F1262:H1262" si="887">F1263+F1264</f>
        <v>3492000</v>
      </c>
      <c r="G1262" s="94">
        <f t="shared" si="887"/>
        <v>72533</v>
      </c>
      <c r="H1262" s="94">
        <f t="shared" si="887"/>
        <v>72530.36</v>
      </c>
      <c r="I1262" s="613">
        <f t="shared" si="885"/>
        <v>2.0770435280641465E-2</v>
      </c>
      <c r="J1262" s="53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</row>
    <row r="1263" spans="1:108" s="2" customFormat="1" ht="13.15" customHeight="1">
      <c r="A1263" s="588"/>
      <c r="B1263" s="36"/>
      <c r="C1263" s="35" t="s">
        <v>17</v>
      </c>
      <c r="D1263" s="76"/>
      <c r="E1263" s="15">
        <f t="shared" ref="E1263:H1264" si="888">E385</f>
        <v>0</v>
      </c>
      <c r="F1263" s="15">
        <f t="shared" si="888"/>
        <v>0</v>
      </c>
      <c r="G1263" s="94">
        <f t="shared" si="888"/>
        <v>0</v>
      </c>
      <c r="H1263" s="94">
        <f t="shared" si="888"/>
        <v>0</v>
      </c>
      <c r="I1263" s="613"/>
      <c r="J1263" s="53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</row>
    <row r="1264" spans="1:108" s="2" customFormat="1" ht="13.9" customHeight="1">
      <c r="A1264" s="588"/>
      <c r="B1264" s="36"/>
      <c r="C1264" s="35" t="s">
        <v>16</v>
      </c>
      <c r="D1264" s="76"/>
      <c r="E1264" s="15">
        <f t="shared" si="888"/>
        <v>3492000</v>
      </c>
      <c r="F1264" s="15">
        <f t="shared" si="888"/>
        <v>3492000</v>
      </c>
      <c r="G1264" s="94">
        <f t="shared" si="888"/>
        <v>72533</v>
      </c>
      <c r="H1264" s="94">
        <f t="shared" si="888"/>
        <v>72530.36</v>
      </c>
      <c r="I1264" s="613">
        <f>H1264/F1264</f>
        <v>2.0770435280641465E-2</v>
      </c>
      <c r="J1264" s="53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</row>
    <row r="1265" spans="1:108" s="2" customFormat="1" ht="15" hidden="1" customHeight="1">
      <c r="A1265" s="34"/>
      <c r="B1265" s="701"/>
      <c r="C1265" s="702"/>
      <c r="D1265" s="76"/>
      <c r="E1265" s="15"/>
      <c r="F1265" s="15"/>
      <c r="G1265" s="94"/>
      <c r="H1265" s="94"/>
      <c r="I1265" s="613" t="e">
        <f>H1265/F1265</f>
        <v>#DIV/0!</v>
      </c>
      <c r="J1265" s="53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</row>
    <row r="1266" spans="1:108" s="2" customFormat="1" ht="41.25" customHeight="1">
      <c r="A1266" s="661" t="s">
        <v>14</v>
      </c>
      <c r="B1266" s="662"/>
      <c r="C1266" s="663"/>
      <c r="D1266" s="15" t="s">
        <v>13</v>
      </c>
      <c r="E1266" s="15"/>
      <c r="F1266" s="15"/>
      <c r="G1266" s="94"/>
      <c r="H1266" s="94"/>
      <c r="I1266" s="613"/>
      <c r="J1266" s="53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</row>
    <row r="1267" spans="1:108" s="2" customFormat="1" ht="15" customHeight="1">
      <c r="A1267" s="48"/>
      <c r="B1267" s="655" t="s">
        <v>66</v>
      </c>
      <c r="C1267" s="656"/>
      <c r="D1267" s="18" t="s">
        <v>44</v>
      </c>
      <c r="E1267" s="53">
        <f t="shared" ref="E1267:H1267" si="889">E1268</f>
        <v>0</v>
      </c>
      <c r="F1267" s="53">
        <f t="shared" si="889"/>
        <v>0</v>
      </c>
      <c r="G1267" s="470">
        <f t="shared" si="889"/>
        <v>0</v>
      </c>
      <c r="H1267" s="470">
        <f t="shared" si="889"/>
        <v>0</v>
      </c>
      <c r="I1267" s="613"/>
      <c r="J1267" s="53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</row>
    <row r="1268" spans="1:108" s="2" customFormat="1" ht="15" customHeight="1">
      <c r="A1268" s="51"/>
      <c r="B1268" s="65" t="s">
        <v>40</v>
      </c>
      <c r="C1268" s="64"/>
      <c r="D1268" s="21" t="s">
        <v>39</v>
      </c>
      <c r="E1268" s="15">
        <f t="shared" ref="E1268:H1270" si="890">E390</f>
        <v>0</v>
      </c>
      <c r="F1268" s="15">
        <f t="shared" si="890"/>
        <v>0</v>
      </c>
      <c r="G1268" s="94">
        <f t="shared" si="890"/>
        <v>0</v>
      </c>
      <c r="H1268" s="94">
        <f t="shared" si="890"/>
        <v>0</v>
      </c>
      <c r="I1268" s="613"/>
      <c r="J1268" s="53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</row>
    <row r="1269" spans="1:108" s="2" customFormat="1" ht="13.15" customHeight="1">
      <c r="A1269" s="588"/>
      <c r="B1269" s="36"/>
      <c r="C1269" s="35" t="s">
        <v>17</v>
      </c>
      <c r="D1269" s="76"/>
      <c r="E1269" s="15">
        <f t="shared" si="890"/>
        <v>0</v>
      </c>
      <c r="F1269" s="15">
        <f t="shared" si="890"/>
        <v>0</v>
      </c>
      <c r="G1269" s="94">
        <f t="shared" si="890"/>
        <v>0</v>
      </c>
      <c r="H1269" s="94">
        <f t="shared" si="890"/>
        <v>0</v>
      </c>
      <c r="I1269" s="613"/>
      <c r="J1269" s="53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</row>
    <row r="1270" spans="1:108" s="2" customFormat="1" ht="13.9" customHeight="1">
      <c r="A1270" s="588"/>
      <c r="B1270" s="36"/>
      <c r="C1270" s="35" t="s">
        <v>16</v>
      </c>
      <c r="D1270" s="76"/>
      <c r="E1270" s="15">
        <f t="shared" si="890"/>
        <v>0</v>
      </c>
      <c r="F1270" s="15">
        <f t="shared" si="890"/>
        <v>0</v>
      </c>
      <c r="G1270" s="94">
        <f t="shared" si="890"/>
        <v>0</v>
      </c>
      <c r="H1270" s="94">
        <f t="shared" si="890"/>
        <v>0</v>
      </c>
      <c r="I1270" s="613"/>
      <c r="J1270" s="53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</row>
    <row r="1271" spans="1:108" s="2" customFormat="1" ht="15" customHeight="1">
      <c r="A1271" s="48"/>
      <c r="B1271" s="655" t="s">
        <v>65</v>
      </c>
      <c r="C1271" s="656"/>
      <c r="D1271" s="18" t="s">
        <v>44</v>
      </c>
      <c r="E1271" s="53">
        <f>E396</f>
        <v>0</v>
      </c>
      <c r="F1271" s="53">
        <f>F396</f>
        <v>0</v>
      </c>
      <c r="G1271" s="470">
        <f>G396</f>
        <v>0</v>
      </c>
      <c r="H1271" s="470">
        <f>H396</f>
        <v>0</v>
      </c>
      <c r="I1271" s="613"/>
      <c r="J1271" s="53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</row>
    <row r="1272" spans="1:108" s="2" customFormat="1" ht="15" customHeight="1">
      <c r="A1272" s="51"/>
      <c r="B1272" s="65" t="s">
        <v>40</v>
      </c>
      <c r="C1272" s="64"/>
      <c r="D1272" s="21" t="s">
        <v>39</v>
      </c>
      <c r="E1272" s="15">
        <f t="shared" ref="E1272:H1274" si="891">E396</f>
        <v>0</v>
      </c>
      <c r="F1272" s="15">
        <f t="shared" si="891"/>
        <v>0</v>
      </c>
      <c r="G1272" s="94">
        <f t="shared" si="891"/>
        <v>0</v>
      </c>
      <c r="H1272" s="94">
        <f t="shared" si="891"/>
        <v>0</v>
      </c>
      <c r="I1272" s="613"/>
      <c r="J1272" s="53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</row>
    <row r="1273" spans="1:108" s="2" customFormat="1" ht="15" customHeight="1">
      <c r="A1273" s="588"/>
      <c r="B1273" s="36"/>
      <c r="C1273" s="35" t="s">
        <v>17</v>
      </c>
      <c r="D1273" s="76"/>
      <c r="E1273" s="15">
        <f t="shared" si="891"/>
        <v>0</v>
      </c>
      <c r="F1273" s="15">
        <f t="shared" si="891"/>
        <v>0</v>
      </c>
      <c r="G1273" s="94">
        <f t="shared" si="891"/>
        <v>0</v>
      </c>
      <c r="H1273" s="94">
        <f t="shared" si="891"/>
        <v>0</v>
      </c>
      <c r="I1273" s="613"/>
      <c r="J1273" s="53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</row>
    <row r="1274" spans="1:108" s="2" customFormat="1" ht="15" customHeight="1">
      <c r="A1274" s="588"/>
      <c r="B1274" s="36"/>
      <c r="C1274" s="35" t="s">
        <v>16</v>
      </c>
      <c r="D1274" s="76"/>
      <c r="E1274" s="15">
        <f t="shared" si="891"/>
        <v>0</v>
      </c>
      <c r="F1274" s="15">
        <f t="shared" si="891"/>
        <v>0</v>
      </c>
      <c r="G1274" s="94">
        <f t="shared" si="891"/>
        <v>0</v>
      </c>
      <c r="H1274" s="94">
        <f t="shared" si="891"/>
        <v>0</v>
      </c>
      <c r="I1274" s="613"/>
      <c r="J1274" s="53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</row>
    <row r="1275" spans="1:108" s="2" customFormat="1" ht="16.5" customHeight="1">
      <c r="A1275" s="679" t="s">
        <v>64</v>
      </c>
      <c r="B1275" s="680"/>
      <c r="C1275" s="681"/>
      <c r="D1275" s="20" t="s">
        <v>63</v>
      </c>
      <c r="E1275" s="19">
        <f t="shared" ref="E1275" si="892">E1276+E1277+E1279</f>
        <v>8555000</v>
      </c>
      <c r="F1275" s="19">
        <f t="shared" ref="F1275:H1275" si="893">F1276+F1277+F1279</f>
        <v>8105000</v>
      </c>
      <c r="G1275" s="97">
        <f t="shared" si="893"/>
        <v>1938798</v>
      </c>
      <c r="H1275" s="97">
        <f t="shared" si="893"/>
        <v>1938795.67</v>
      </c>
      <c r="I1275" s="613">
        <f>H1275/F1275</f>
        <v>0.23920982973473165</v>
      </c>
      <c r="J1275" s="53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</row>
    <row r="1276" spans="1:108" s="2" customFormat="1" ht="13.9" customHeight="1">
      <c r="A1276" s="588" t="s">
        <v>4</v>
      </c>
      <c r="B1276" s="22"/>
      <c r="C1276" s="12"/>
      <c r="D1276" s="16">
        <v>51</v>
      </c>
      <c r="E1276" s="28">
        <f t="shared" ref="E1276" si="894">E1296+E1305</f>
        <v>8529000</v>
      </c>
      <c r="F1276" s="28">
        <f t="shared" ref="F1276:H1276" si="895">F1296+F1305</f>
        <v>8079000</v>
      </c>
      <c r="G1276" s="10">
        <f t="shared" si="895"/>
        <v>1938798</v>
      </c>
      <c r="H1276" s="10">
        <f t="shared" si="895"/>
        <v>1938795.67</v>
      </c>
      <c r="I1276" s="613">
        <f>H1276/F1276</f>
        <v>0.23997965961133802</v>
      </c>
      <c r="J1276" s="53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</row>
    <row r="1277" spans="1:108" s="2" customFormat="1" ht="13.9" customHeight="1">
      <c r="A1277" s="640" t="s">
        <v>62</v>
      </c>
      <c r="B1277" s="641"/>
      <c r="C1277" s="641"/>
      <c r="D1277" s="16">
        <v>58</v>
      </c>
      <c r="E1277" s="28">
        <f t="shared" ref="E1277" si="896">E1288</f>
        <v>6000</v>
      </c>
      <c r="F1277" s="28">
        <f t="shared" ref="F1277:H1277" si="897">F1288</f>
        <v>6000</v>
      </c>
      <c r="G1277" s="10">
        <f t="shared" si="897"/>
        <v>0</v>
      </c>
      <c r="H1277" s="10">
        <f t="shared" si="897"/>
        <v>0</v>
      </c>
      <c r="I1277" s="613">
        <f>H1277/F1277</f>
        <v>0</v>
      </c>
      <c r="J1277" s="53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</row>
    <row r="1278" spans="1:108" s="2" customFormat="1" ht="12.6" customHeight="1">
      <c r="A1278" s="588" t="s">
        <v>61</v>
      </c>
      <c r="B1278" s="22"/>
      <c r="C1278" s="12"/>
      <c r="D1278" s="26">
        <v>59</v>
      </c>
      <c r="E1278" s="28"/>
      <c r="F1278" s="28"/>
      <c r="G1278" s="10"/>
      <c r="H1278" s="10"/>
      <c r="I1278" s="613"/>
      <c r="J1278" s="53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</row>
    <row r="1279" spans="1:108" s="2" customFormat="1" ht="12.6" customHeight="1">
      <c r="A1279" s="646" t="s">
        <v>23</v>
      </c>
      <c r="B1279" s="647"/>
      <c r="C1279" s="647"/>
      <c r="D1279" s="16">
        <v>70</v>
      </c>
      <c r="E1279" s="28">
        <f t="shared" ref="E1279" si="898">E1292</f>
        <v>20000</v>
      </c>
      <c r="F1279" s="28">
        <f t="shared" ref="F1279:H1279" si="899">F1292</f>
        <v>20000</v>
      </c>
      <c r="G1279" s="10">
        <f t="shared" si="899"/>
        <v>0</v>
      </c>
      <c r="H1279" s="10">
        <f t="shared" si="899"/>
        <v>0</v>
      </c>
      <c r="I1279" s="613"/>
      <c r="J1279" s="53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</row>
    <row r="1280" spans="1:108" s="2" customFormat="1" ht="15" hidden="1" customHeight="1">
      <c r="A1280" s="646" t="s">
        <v>60</v>
      </c>
      <c r="B1280" s="647"/>
      <c r="C1280" s="647"/>
      <c r="D1280" s="75"/>
      <c r="E1280" s="15"/>
      <c r="F1280" s="15"/>
      <c r="G1280" s="94"/>
      <c r="H1280" s="94"/>
      <c r="I1280" s="613"/>
      <c r="J1280" s="53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</row>
    <row r="1281" spans="1:108" s="2" customFormat="1" ht="16.899999999999999" customHeight="1">
      <c r="A1281" s="51"/>
      <c r="B1281" s="690" t="s">
        <v>59</v>
      </c>
      <c r="C1281" s="687"/>
      <c r="D1281" s="18" t="s">
        <v>44</v>
      </c>
      <c r="E1281" s="17">
        <f t="shared" ref="E1281" si="900">E1284+E1292</f>
        <v>20000</v>
      </c>
      <c r="F1281" s="17">
        <f t="shared" ref="F1281:H1281" si="901">F1284+F1292</f>
        <v>20000</v>
      </c>
      <c r="G1281" s="99">
        <f t="shared" si="901"/>
        <v>0</v>
      </c>
      <c r="H1281" s="99">
        <f t="shared" si="901"/>
        <v>0</v>
      </c>
      <c r="I1281" s="613"/>
      <c r="J1281" s="53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</row>
    <row r="1282" spans="1:108" s="2" customFormat="1" ht="15" hidden="1" customHeight="1">
      <c r="A1282" s="48" t="s">
        <v>58</v>
      </c>
      <c r="B1282" s="74"/>
      <c r="C1282" s="74"/>
      <c r="D1282" s="59">
        <v>10</v>
      </c>
      <c r="E1282" s="15"/>
      <c r="F1282" s="15"/>
      <c r="G1282" s="94"/>
      <c r="H1282" s="94"/>
      <c r="I1282" s="613"/>
      <c r="J1282" s="53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</row>
    <row r="1283" spans="1:108" s="2" customFormat="1" ht="15" hidden="1" customHeight="1">
      <c r="A1283" s="48" t="s">
        <v>57</v>
      </c>
      <c r="B1283" s="74"/>
      <c r="C1283" s="74"/>
      <c r="D1283" s="59">
        <v>20</v>
      </c>
      <c r="E1283" s="15"/>
      <c r="F1283" s="15"/>
      <c r="G1283" s="94"/>
      <c r="H1283" s="94"/>
      <c r="I1283" s="613"/>
      <c r="J1283" s="53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</row>
    <row r="1284" spans="1:108" s="2" customFormat="1">
      <c r="A1284" s="640" t="s">
        <v>25</v>
      </c>
      <c r="B1284" s="641"/>
      <c r="C1284" s="641"/>
      <c r="D1284" s="16">
        <v>56</v>
      </c>
      <c r="E1284" s="15">
        <f t="shared" ref="E1284:H1292" si="902">E418</f>
        <v>0</v>
      </c>
      <c r="F1284" s="15">
        <f t="shared" si="902"/>
        <v>0</v>
      </c>
      <c r="G1284" s="94">
        <f t="shared" si="902"/>
        <v>0</v>
      </c>
      <c r="H1284" s="94">
        <f t="shared" si="902"/>
        <v>0</v>
      </c>
      <c r="I1284" s="613"/>
      <c r="J1284" s="53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</row>
    <row r="1285" spans="1:108" s="2" customFormat="1" ht="12.75" customHeight="1">
      <c r="A1285" s="588"/>
      <c r="B1285" s="35" t="s">
        <v>17</v>
      </c>
      <c r="C1285" s="589"/>
      <c r="D1285" s="16"/>
      <c r="E1285" s="15">
        <f t="shared" si="902"/>
        <v>0</v>
      </c>
      <c r="F1285" s="15">
        <f t="shared" si="902"/>
        <v>0</v>
      </c>
      <c r="G1285" s="94">
        <f t="shared" si="902"/>
        <v>0</v>
      </c>
      <c r="H1285" s="94">
        <f t="shared" si="902"/>
        <v>0</v>
      </c>
      <c r="I1285" s="613"/>
      <c r="J1285" s="53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</row>
    <row r="1286" spans="1:108" s="2" customFormat="1" ht="12.75" customHeight="1">
      <c r="A1286" s="588"/>
      <c r="B1286" s="35" t="s">
        <v>16</v>
      </c>
      <c r="C1286" s="589"/>
      <c r="D1286" s="16"/>
      <c r="E1286" s="15">
        <f t="shared" si="902"/>
        <v>0</v>
      </c>
      <c r="F1286" s="15">
        <f t="shared" si="902"/>
        <v>0</v>
      </c>
      <c r="G1286" s="94">
        <f t="shared" si="902"/>
        <v>0</v>
      </c>
      <c r="H1286" s="94">
        <f t="shared" si="902"/>
        <v>0</v>
      </c>
      <c r="I1286" s="613"/>
      <c r="J1286" s="53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</row>
    <row r="1287" spans="1:108" s="2" customFormat="1" ht="12.75" customHeight="1">
      <c r="A1287" s="588"/>
      <c r="B1287" s="33" t="s">
        <v>15</v>
      </c>
      <c r="C1287" s="589"/>
      <c r="D1287" s="16"/>
      <c r="E1287" s="15">
        <f t="shared" si="902"/>
        <v>0</v>
      </c>
      <c r="F1287" s="15">
        <f t="shared" si="902"/>
        <v>0</v>
      </c>
      <c r="G1287" s="94">
        <f t="shared" si="902"/>
        <v>0</v>
      </c>
      <c r="H1287" s="94">
        <f t="shared" si="902"/>
        <v>0</v>
      </c>
      <c r="I1287" s="613"/>
      <c r="J1287" s="53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</row>
    <row r="1288" spans="1:108" s="2" customFormat="1" ht="12.75" customHeight="1">
      <c r="A1288" s="691" t="s">
        <v>56</v>
      </c>
      <c r="B1288" s="692"/>
      <c r="C1288" s="692"/>
      <c r="D1288" s="67">
        <v>58</v>
      </c>
      <c r="E1288" s="66">
        <f t="shared" si="902"/>
        <v>6000</v>
      </c>
      <c r="F1288" s="66">
        <f t="shared" si="902"/>
        <v>6000</v>
      </c>
      <c r="G1288" s="444">
        <f t="shared" si="902"/>
        <v>0</v>
      </c>
      <c r="H1288" s="444">
        <f t="shared" si="902"/>
        <v>0</v>
      </c>
      <c r="I1288" s="613">
        <f>H1288/F1288</f>
        <v>0</v>
      </c>
      <c r="J1288" s="53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</row>
    <row r="1289" spans="1:108" s="2" customFormat="1" ht="12.75" customHeight="1">
      <c r="A1289" s="73"/>
      <c r="B1289" s="72" t="s">
        <v>17</v>
      </c>
      <c r="C1289" s="71"/>
      <c r="D1289" s="67"/>
      <c r="E1289" s="66">
        <f t="shared" si="902"/>
        <v>0</v>
      </c>
      <c r="F1289" s="66">
        <f t="shared" si="902"/>
        <v>0</v>
      </c>
      <c r="G1289" s="444">
        <f t="shared" si="902"/>
        <v>0</v>
      </c>
      <c r="H1289" s="444">
        <f t="shared" si="902"/>
        <v>0</v>
      </c>
      <c r="I1289" s="613"/>
      <c r="J1289" s="53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</row>
    <row r="1290" spans="1:108" s="2" customFormat="1" ht="12.75" customHeight="1">
      <c r="A1290" s="73"/>
      <c r="B1290" s="72" t="s">
        <v>16</v>
      </c>
      <c r="C1290" s="71"/>
      <c r="D1290" s="67"/>
      <c r="E1290" s="66">
        <f t="shared" si="902"/>
        <v>3000</v>
      </c>
      <c r="F1290" s="66">
        <f t="shared" si="902"/>
        <v>3000</v>
      </c>
      <c r="G1290" s="444">
        <f t="shared" si="902"/>
        <v>0</v>
      </c>
      <c r="H1290" s="444">
        <f t="shared" si="902"/>
        <v>0</v>
      </c>
      <c r="I1290" s="613">
        <f>H1290/F1290</f>
        <v>0</v>
      </c>
      <c r="J1290" s="53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</row>
    <row r="1291" spans="1:108" s="2" customFormat="1" ht="12.75" customHeight="1">
      <c r="A1291" s="70"/>
      <c r="B1291" s="69" t="s">
        <v>42</v>
      </c>
      <c r="C1291" s="68"/>
      <c r="D1291" s="67"/>
      <c r="E1291" s="66">
        <f t="shared" si="902"/>
        <v>3000</v>
      </c>
      <c r="F1291" s="66">
        <f t="shared" si="902"/>
        <v>3000</v>
      </c>
      <c r="G1291" s="444">
        <f t="shared" si="902"/>
        <v>0</v>
      </c>
      <c r="H1291" s="444">
        <f t="shared" si="902"/>
        <v>0</v>
      </c>
      <c r="I1291" s="613">
        <f>H1291/F1291</f>
        <v>0</v>
      </c>
      <c r="J1291" s="53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</row>
    <row r="1292" spans="1:108" s="2" customFormat="1">
      <c r="A1292" s="646" t="s">
        <v>23</v>
      </c>
      <c r="B1292" s="647"/>
      <c r="C1292" s="647"/>
      <c r="D1292" s="16">
        <v>70</v>
      </c>
      <c r="E1292" s="15">
        <f t="shared" si="902"/>
        <v>20000</v>
      </c>
      <c r="F1292" s="15">
        <f t="shared" si="902"/>
        <v>20000</v>
      </c>
      <c r="G1292" s="94">
        <f t="shared" si="902"/>
        <v>0</v>
      </c>
      <c r="H1292" s="94">
        <f t="shared" si="902"/>
        <v>0</v>
      </c>
      <c r="I1292" s="613"/>
      <c r="J1292" s="53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</row>
    <row r="1293" spans="1:108" s="2" customFormat="1" ht="12.75" hidden="1" customHeight="1">
      <c r="A1293" s="588"/>
      <c r="B1293" s="35" t="s">
        <v>17</v>
      </c>
      <c r="C1293" s="589"/>
      <c r="D1293" s="59"/>
      <c r="E1293" s="15"/>
      <c r="F1293" s="15"/>
      <c r="G1293" s="94"/>
      <c r="H1293" s="94"/>
      <c r="I1293" s="613" t="e">
        <f t="shared" ref="I1293:I1301" si="903">H1293/F1293</f>
        <v>#DIV/0!</v>
      </c>
      <c r="J1293" s="53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</row>
    <row r="1294" spans="1:108" s="2" customFormat="1" ht="12.75" hidden="1" customHeight="1">
      <c r="A1294" s="588"/>
      <c r="B1294" s="35" t="s">
        <v>16</v>
      </c>
      <c r="C1294" s="589"/>
      <c r="D1294" s="59"/>
      <c r="E1294" s="15"/>
      <c r="F1294" s="15"/>
      <c r="G1294" s="94"/>
      <c r="H1294" s="94"/>
      <c r="I1294" s="613" t="e">
        <f t="shared" si="903"/>
        <v>#DIV/0!</v>
      </c>
      <c r="J1294" s="53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</row>
    <row r="1295" spans="1:108" s="2" customFormat="1" ht="16.899999999999999" customHeight="1">
      <c r="A1295" s="51"/>
      <c r="B1295" s="655" t="s">
        <v>55</v>
      </c>
      <c r="C1295" s="656"/>
      <c r="D1295" s="60">
        <v>51</v>
      </c>
      <c r="E1295" s="53">
        <f t="shared" ref="E1295" si="904">E1297+E1301</f>
        <v>5959000</v>
      </c>
      <c r="F1295" s="53">
        <f t="shared" ref="F1295:H1295" si="905">F1297+F1301</f>
        <v>5781000</v>
      </c>
      <c r="G1295" s="470">
        <f t="shared" si="905"/>
        <v>1938798</v>
      </c>
      <c r="H1295" s="470">
        <f t="shared" si="905"/>
        <v>1938795.67</v>
      </c>
      <c r="I1295" s="613">
        <f t="shared" si="903"/>
        <v>0.33537375367583461</v>
      </c>
      <c r="J1295" s="53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</row>
    <row r="1296" spans="1:108" s="2" customFormat="1">
      <c r="A1296" s="651" t="s">
        <v>4</v>
      </c>
      <c r="B1296" s="652"/>
      <c r="C1296" s="652"/>
      <c r="D1296" s="59">
        <v>51</v>
      </c>
      <c r="E1296" s="28">
        <f t="shared" ref="E1296" si="906">E1301</f>
        <v>5959000</v>
      </c>
      <c r="F1296" s="28">
        <f t="shared" ref="F1296:H1296" si="907">F1301</f>
        <v>5781000</v>
      </c>
      <c r="G1296" s="10">
        <f t="shared" si="907"/>
        <v>1938798</v>
      </c>
      <c r="H1296" s="10">
        <f t="shared" si="907"/>
        <v>1938795.67</v>
      </c>
      <c r="I1296" s="613">
        <f t="shared" si="903"/>
        <v>0.33537375367583461</v>
      </c>
      <c r="J1296" s="53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</row>
    <row r="1297" spans="1:108" s="2" customFormat="1" ht="15" hidden="1" customHeight="1">
      <c r="A1297" s="51"/>
      <c r="B1297" s="65" t="s">
        <v>53</v>
      </c>
      <c r="C1297" s="64"/>
      <c r="D1297" s="60"/>
      <c r="E1297" s="15"/>
      <c r="F1297" s="15"/>
      <c r="G1297" s="94"/>
      <c r="H1297" s="94"/>
      <c r="I1297" s="613" t="e">
        <f t="shared" si="903"/>
        <v>#DIV/0!</v>
      </c>
      <c r="J1297" s="53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</row>
    <row r="1298" spans="1:108" s="2" customFormat="1" ht="15" hidden="1" customHeight="1">
      <c r="A1298" s="588"/>
      <c r="B1298" s="36"/>
      <c r="C1298" s="35" t="s">
        <v>17</v>
      </c>
      <c r="D1298" s="60"/>
      <c r="E1298" s="15"/>
      <c r="F1298" s="15"/>
      <c r="G1298" s="94"/>
      <c r="H1298" s="94"/>
      <c r="I1298" s="613" t="e">
        <f t="shared" si="903"/>
        <v>#DIV/0!</v>
      </c>
      <c r="J1298" s="53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</row>
    <row r="1299" spans="1:108" s="2" customFormat="1" ht="15" hidden="1" customHeight="1">
      <c r="A1299" s="588"/>
      <c r="B1299" s="36"/>
      <c r="C1299" s="35" t="s">
        <v>16</v>
      </c>
      <c r="D1299" s="60"/>
      <c r="E1299" s="15"/>
      <c r="F1299" s="15"/>
      <c r="G1299" s="94"/>
      <c r="H1299" s="94"/>
      <c r="I1299" s="613" t="e">
        <f t="shared" si="903"/>
        <v>#DIV/0!</v>
      </c>
      <c r="J1299" s="53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</row>
    <row r="1300" spans="1:108" s="2" customFormat="1" ht="15" hidden="1" customHeight="1">
      <c r="A1300" s="588"/>
      <c r="B1300" s="589"/>
      <c r="C1300" s="33" t="s">
        <v>15</v>
      </c>
      <c r="D1300" s="60"/>
      <c r="E1300" s="15"/>
      <c r="F1300" s="15"/>
      <c r="G1300" s="94"/>
      <c r="H1300" s="94"/>
      <c r="I1300" s="613" t="e">
        <f t="shared" si="903"/>
        <v>#DIV/0!</v>
      </c>
      <c r="J1300" s="53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</row>
    <row r="1301" spans="1:108" s="2" customFormat="1" ht="15" customHeight="1">
      <c r="A1301" s="51"/>
      <c r="B1301" s="653" t="s">
        <v>52</v>
      </c>
      <c r="C1301" s="654"/>
      <c r="D1301" s="21" t="s">
        <v>39</v>
      </c>
      <c r="E1301" s="15">
        <f>E432</f>
        <v>5959000</v>
      </c>
      <c r="F1301" s="15">
        <f>F432</f>
        <v>5781000</v>
      </c>
      <c r="G1301" s="94">
        <f>G432</f>
        <v>1938798</v>
      </c>
      <c r="H1301" s="94">
        <f>H432</f>
        <v>1938795.67</v>
      </c>
      <c r="I1301" s="613">
        <f t="shared" si="903"/>
        <v>0.33537375367583461</v>
      </c>
      <c r="J1301" s="53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</row>
    <row r="1302" spans="1:108" s="2" customFormat="1" ht="15" customHeight="1">
      <c r="A1302" s="588"/>
      <c r="B1302" s="36"/>
      <c r="C1302" s="35" t="s">
        <v>17</v>
      </c>
      <c r="D1302" s="60"/>
      <c r="E1302" s="15">
        <f t="shared" ref="E1302:H1303" si="908">E438</f>
        <v>0</v>
      </c>
      <c r="F1302" s="15">
        <f t="shared" si="908"/>
        <v>0</v>
      </c>
      <c r="G1302" s="94">
        <f t="shared" si="908"/>
        <v>0</v>
      </c>
      <c r="H1302" s="94">
        <f t="shared" si="908"/>
        <v>0</v>
      </c>
      <c r="I1302" s="613"/>
      <c r="J1302" s="53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</row>
    <row r="1303" spans="1:108" s="2" customFormat="1" ht="15" customHeight="1">
      <c r="A1303" s="588"/>
      <c r="B1303" s="36"/>
      <c r="C1303" s="36" t="s">
        <v>16</v>
      </c>
      <c r="D1303" s="60"/>
      <c r="E1303" s="15">
        <f t="shared" si="908"/>
        <v>5959000</v>
      </c>
      <c r="F1303" s="15">
        <f t="shared" si="908"/>
        <v>5781000</v>
      </c>
      <c r="G1303" s="94">
        <f t="shared" si="908"/>
        <v>1938798</v>
      </c>
      <c r="H1303" s="94">
        <f t="shared" si="908"/>
        <v>1938795.67</v>
      </c>
      <c r="I1303" s="613">
        <f>H1303/F1303</f>
        <v>0.33537375367583461</v>
      </c>
      <c r="J1303" s="53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</row>
    <row r="1304" spans="1:108" s="2" customFormat="1" ht="16.899999999999999" customHeight="1">
      <c r="A1304" s="51"/>
      <c r="B1304" s="689" t="s">
        <v>54</v>
      </c>
      <c r="C1304" s="689"/>
      <c r="D1304" s="60">
        <v>51</v>
      </c>
      <c r="E1304" s="53">
        <f t="shared" ref="E1304" si="909">E1306+E1310</f>
        <v>2570000</v>
      </c>
      <c r="F1304" s="53">
        <f t="shared" ref="F1304:H1304" si="910">F1306+F1310</f>
        <v>2298000</v>
      </c>
      <c r="G1304" s="470">
        <f t="shared" si="910"/>
        <v>0</v>
      </c>
      <c r="H1304" s="470">
        <f t="shared" si="910"/>
        <v>0</v>
      </c>
      <c r="I1304" s="613">
        <f>H1304/F1304</f>
        <v>0</v>
      </c>
      <c r="J1304" s="53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</row>
    <row r="1305" spans="1:108" s="2" customFormat="1" ht="15" customHeight="1">
      <c r="A1305" s="651" t="s">
        <v>4</v>
      </c>
      <c r="B1305" s="652"/>
      <c r="C1305" s="652"/>
      <c r="D1305" s="59">
        <v>51</v>
      </c>
      <c r="E1305" s="15">
        <f t="shared" ref="E1305" si="911">E1306+E1310</f>
        <v>2570000</v>
      </c>
      <c r="F1305" s="15">
        <f t="shared" ref="F1305:H1305" si="912">F1306+F1310</f>
        <v>2298000</v>
      </c>
      <c r="G1305" s="94">
        <f t="shared" si="912"/>
        <v>0</v>
      </c>
      <c r="H1305" s="94">
        <f t="shared" si="912"/>
        <v>0</v>
      </c>
      <c r="I1305" s="613">
        <f>H1305/F1305</f>
        <v>0</v>
      </c>
      <c r="J1305" s="53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</row>
    <row r="1306" spans="1:108" s="2" customFormat="1" ht="15" customHeight="1">
      <c r="A1306" s="51"/>
      <c r="B1306" s="653" t="s">
        <v>53</v>
      </c>
      <c r="C1306" s="654"/>
      <c r="D1306" s="21" t="s">
        <v>39</v>
      </c>
      <c r="E1306" s="28">
        <f t="shared" ref="E1306:H1309" si="913">E443</f>
        <v>634000</v>
      </c>
      <c r="F1306" s="28">
        <f t="shared" si="913"/>
        <v>634000</v>
      </c>
      <c r="G1306" s="10">
        <f t="shared" si="913"/>
        <v>0</v>
      </c>
      <c r="H1306" s="10">
        <f t="shared" si="913"/>
        <v>0</v>
      </c>
      <c r="I1306" s="613"/>
      <c r="J1306" s="53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</row>
    <row r="1307" spans="1:108" s="2" customFormat="1" ht="15" customHeight="1">
      <c r="A1307" s="588"/>
      <c r="B1307" s="36"/>
      <c r="C1307" s="35" t="s">
        <v>17</v>
      </c>
      <c r="D1307" s="26"/>
      <c r="E1307" s="28">
        <f t="shared" si="913"/>
        <v>0</v>
      </c>
      <c r="F1307" s="28">
        <f t="shared" si="913"/>
        <v>0</v>
      </c>
      <c r="G1307" s="10">
        <f t="shared" si="913"/>
        <v>0</v>
      </c>
      <c r="H1307" s="10">
        <f t="shared" si="913"/>
        <v>0</v>
      </c>
      <c r="I1307" s="613"/>
      <c r="J1307" s="53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</row>
    <row r="1308" spans="1:108" s="2" customFormat="1" ht="15" customHeight="1">
      <c r="A1308" s="588"/>
      <c r="B1308" s="36"/>
      <c r="C1308" s="35" t="s">
        <v>16</v>
      </c>
      <c r="D1308" s="26"/>
      <c r="E1308" s="28">
        <f t="shared" si="913"/>
        <v>634000</v>
      </c>
      <c r="F1308" s="28">
        <f t="shared" si="913"/>
        <v>634000</v>
      </c>
      <c r="G1308" s="10">
        <f t="shared" si="913"/>
        <v>0</v>
      </c>
      <c r="H1308" s="10">
        <f t="shared" si="913"/>
        <v>0</v>
      </c>
      <c r="I1308" s="613"/>
      <c r="J1308" s="53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</row>
    <row r="1309" spans="1:108" s="2" customFormat="1" ht="15" customHeight="1">
      <c r="A1309" s="588"/>
      <c r="B1309" s="589"/>
      <c r="C1309" s="33" t="s">
        <v>15</v>
      </c>
      <c r="D1309" s="26"/>
      <c r="E1309" s="28">
        <f t="shared" si="913"/>
        <v>0</v>
      </c>
      <c r="F1309" s="28">
        <f t="shared" si="913"/>
        <v>0</v>
      </c>
      <c r="G1309" s="10">
        <f t="shared" si="913"/>
        <v>0</v>
      </c>
      <c r="H1309" s="10">
        <f t="shared" si="913"/>
        <v>0</v>
      </c>
      <c r="I1309" s="613"/>
      <c r="J1309" s="53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</row>
    <row r="1310" spans="1:108" s="2" customFormat="1" ht="15" customHeight="1">
      <c r="A1310" s="51"/>
      <c r="B1310" s="653" t="s">
        <v>52</v>
      </c>
      <c r="C1310" s="654"/>
      <c r="D1310" s="21" t="s">
        <v>39</v>
      </c>
      <c r="E1310" s="15">
        <f t="shared" ref="E1310" si="914">E1311+E1312</f>
        <v>1936000</v>
      </c>
      <c r="F1310" s="15">
        <f t="shared" ref="F1310:H1310" si="915">F1311+F1312</f>
        <v>1664000</v>
      </c>
      <c r="G1310" s="94">
        <f t="shared" si="915"/>
        <v>0</v>
      </c>
      <c r="H1310" s="94">
        <f t="shared" si="915"/>
        <v>0</v>
      </c>
      <c r="I1310" s="613">
        <f>H1310/F1310</f>
        <v>0</v>
      </c>
      <c r="J1310" s="53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</row>
    <row r="1311" spans="1:108" s="2" customFormat="1" ht="15" customHeight="1">
      <c r="A1311" s="588"/>
      <c r="B1311" s="36"/>
      <c r="C1311" s="35" t="s">
        <v>17</v>
      </c>
      <c r="D1311" s="26"/>
      <c r="E1311" s="15">
        <f t="shared" ref="E1311:H1312" si="916">E448</f>
        <v>0</v>
      </c>
      <c r="F1311" s="15">
        <f t="shared" si="916"/>
        <v>0</v>
      </c>
      <c r="G1311" s="94">
        <f t="shared" si="916"/>
        <v>0</v>
      </c>
      <c r="H1311" s="94">
        <f t="shared" si="916"/>
        <v>0</v>
      </c>
      <c r="I1311" s="613"/>
      <c r="J1311" s="53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</row>
    <row r="1312" spans="1:108" s="2" customFormat="1" ht="15" customHeight="1">
      <c r="A1312" s="588"/>
      <c r="B1312" s="36"/>
      <c r="C1312" s="35" t="s">
        <v>16</v>
      </c>
      <c r="D1312" s="16"/>
      <c r="E1312" s="15">
        <f t="shared" si="916"/>
        <v>1936000</v>
      </c>
      <c r="F1312" s="15">
        <f t="shared" si="916"/>
        <v>1664000</v>
      </c>
      <c r="G1312" s="94">
        <f t="shared" si="916"/>
        <v>0</v>
      </c>
      <c r="H1312" s="94">
        <f t="shared" si="916"/>
        <v>0</v>
      </c>
      <c r="I1312" s="613">
        <f>H1312/F1312</f>
        <v>0</v>
      </c>
      <c r="J1312" s="53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</row>
    <row r="1313" spans="1:108" s="2" customFormat="1" ht="15.6" customHeight="1">
      <c r="A1313" s="679" t="s">
        <v>51</v>
      </c>
      <c r="B1313" s="680"/>
      <c r="C1313" s="681"/>
      <c r="D1313" s="20" t="s">
        <v>50</v>
      </c>
      <c r="E1313" s="19">
        <f t="shared" ref="E1313" si="917">E1317+E1346</f>
        <v>7372000</v>
      </c>
      <c r="F1313" s="19">
        <f t="shared" ref="F1313:G1313" si="918">F1317+F1346</f>
        <v>6709000</v>
      </c>
      <c r="G1313" s="97">
        <f t="shared" si="918"/>
        <v>2320773</v>
      </c>
      <c r="H1313" s="97">
        <f>H1317+H1346</f>
        <v>1721522.4300000002</v>
      </c>
      <c r="I1313" s="613">
        <f>H1313/F1313</f>
        <v>0.25659896109703384</v>
      </c>
      <c r="J1313" s="53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</row>
    <row r="1314" spans="1:108" s="2" customFormat="1" ht="14.45" customHeight="1">
      <c r="A1314" s="588" t="s">
        <v>4</v>
      </c>
      <c r="B1314" s="22"/>
      <c r="C1314" s="12"/>
      <c r="D1314" s="26" t="s">
        <v>49</v>
      </c>
      <c r="E1314" s="28">
        <f t="shared" ref="E1314" si="919">E1348</f>
        <v>0</v>
      </c>
      <c r="F1314" s="28">
        <f t="shared" ref="F1314:H1314" si="920">F1348</f>
        <v>0</v>
      </c>
      <c r="G1314" s="10">
        <f t="shared" si="920"/>
        <v>0</v>
      </c>
      <c r="H1314" s="10">
        <f t="shared" si="920"/>
        <v>0</v>
      </c>
      <c r="I1314" s="613"/>
      <c r="J1314" s="53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</row>
    <row r="1315" spans="1:108" s="2" customFormat="1" ht="15.6" customHeight="1">
      <c r="A1315" s="640" t="s">
        <v>25</v>
      </c>
      <c r="B1315" s="641"/>
      <c r="C1315" s="641"/>
      <c r="D1315" s="16">
        <v>58</v>
      </c>
      <c r="E1315" s="28">
        <f t="shared" ref="E1315" si="921">E1322</f>
        <v>5810000</v>
      </c>
      <c r="F1315" s="28">
        <f t="shared" ref="F1315:G1315" si="922">F1322</f>
        <v>5147000</v>
      </c>
      <c r="G1315" s="28">
        <f t="shared" si="922"/>
        <v>1819303</v>
      </c>
      <c r="H1315" s="10">
        <f>H464</f>
        <v>1220052.58</v>
      </c>
      <c r="I1315" s="613">
        <f t="shared" ref="I1315:I1322" si="923">H1315/F1315</f>
        <v>0.23704149601709734</v>
      </c>
      <c r="J1315" s="53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</row>
    <row r="1316" spans="1:108" s="2" customFormat="1" ht="13.15" customHeight="1">
      <c r="A1316" s="646" t="s">
        <v>23</v>
      </c>
      <c r="B1316" s="647"/>
      <c r="C1316" s="647"/>
      <c r="D1316" s="16">
        <v>70</v>
      </c>
      <c r="E1316" s="15">
        <f t="shared" ref="E1316" si="924">E1326</f>
        <v>1562000</v>
      </c>
      <c r="F1316" s="15">
        <f t="shared" ref="F1316:H1316" si="925">F1326</f>
        <v>1562000</v>
      </c>
      <c r="G1316" s="94">
        <f t="shared" si="925"/>
        <v>501470</v>
      </c>
      <c r="H1316" s="94">
        <f t="shared" si="925"/>
        <v>501469.85</v>
      </c>
      <c r="I1316" s="613">
        <f t="shared" si="923"/>
        <v>0.32104343790012801</v>
      </c>
      <c r="J1316" s="53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</row>
    <row r="1317" spans="1:108" s="2" customFormat="1" ht="27" customHeight="1">
      <c r="A1317" s="682" t="s">
        <v>48</v>
      </c>
      <c r="B1317" s="683"/>
      <c r="C1317" s="684"/>
      <c r="D1317" s="24" t="s">
        <v>44</v>
      </c>
      <c r="E1317" s="23">
        <f t="shared" ref="E1317" si="926">E1322+E1326</f>
        <v>7372000</v>
      </c>
      <c r="F1317" s="23">
        <f t="shared" ref="F1317:G1317" si="927">F1322+F1326</f>
        <v>6709000</v>
      </c>
      <c r="G1317" s="101">
        <f t="shared" si="927"/>
        <v>2320773</v>
      </c>
      <c r="H1317" s="101">
        <f>H1322+H1326+H1337</f>
        <v>1721522.4300000002</v>
      </c>
      <c r="I1317" s="613">
        <f t="shared" si="923"/>
        <v>0.25659896109703384</v>
      </c>
      <c r="J1317" s="53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</row>
    <row r="1318" spans="1:108" s="2" customFormat="1" ht="15" hidden="1" customHeight="1">
      <c r="A1318" s="640" t="s">
        <v>47</v>
      </c>
      <c r="B1318" s="641"/>
      <c r="C1318" s="641"/>
      <c r="D1318" s="16">
        <v>56</v>
      </c>
      <c r="E1318" s="15"/>
      <c r="F1318" s="15"/>
      <c r="G1318" s="94"/>
      <c r="H1318" s="94"/>
      <c r="I1318" s="613" t="e">
        <f t="shared" si="923"/>
        <v>#DIV/0!</v>
      </c>
      <c r="J1318" s="53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</row>
    <row r="1319" spans="1:108" s="2" customFormat="1" ht="13.9" hidden="1" customHeight="1">
      <c r="A1319" s="588"/>
      <c r="B1319" s="36"/>
      <c r="C1319" s="35" t="s">
        <v>17</v>
      </c>
      <c r="D1319" s="16"/>
      <c r="E1319" s="15"/>
      <c r="F1319" s="15"/>
      <c r="G1319" s="94"/>
      <c r="H1319" s="94"/>
      <c r="I1319" s="613" t="e">
        <f t="shared" si="923"/>
        <v>#DIV/0!</v>
      </c>
      <c r="J1319" s="53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</row>
    <row r="1320" spans="1:108" s="2" customFormat="1" ht="12.6" hidden="1" customHeight="1">
      <c r="A1320" s="588"/>
      <c r="B1320" s="36"/>
      <c r="C1320" s="35" t="s">
        <v>16</v>
      </c>
      <c r="D1320" s="16"/>
      <c r="E1320" s="15"/>
      <c r="F1320" s="15"/>
      <c r="G1320" s="94"/>
      <c r="H1320" s="94"/>
      <c r="I1320" s="613" t="e">
        <f t="shared" si="923"/>
        <v>#DIV/0!</v>
      </c>
      <c r="J1320" s="53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</row>
    <row r="1321" spans="1:108" s="2" customFormat="1" ht="12" hidden="1" customHeight="1">
      <c r="A1321" s="588"/>
      <c r="B1321" s="589"/>
      <c r="C1321" s="33" t="s">
        <v>15</v>
      </c>
      <c r="D1321" s="26"/>
      <c r="E1321" s="15"/>
      <c r="F1321" s="15"/>
      <c r="G1321" s="94"/>
      <c r="H1321" s="94"/>
      <c r="I1321" s="613" t="e">
        <f t="shared" si="923"/>
        <v>#DIV/0!</v>
      </c>
      <c r="J1321" s="53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</row>
    <row r="1322" spans="1:108" s="2" customFormat="1" ht="24.75" customHeight="1">
      <c r="A1322" s="676" t="s">
        <v>43</v>
      </c>
      <c r="B1322" s="677"/>
      <c r="C1322" s="678"/>
      <c r="D1322" s="26">
        <v>58</v>
      </c>
      <c r="E1322" s="15">
        <f t="shared" ref="E1322" si="928">E1323+E1324+E1325</f>
        <v>5810000</v>
      </c>
      <c r="F1322" s="15">
        <f t="shared" ref="F1322:H1322" si="929">F1323+F1324+F1325</f>
        <v>5147000</v>
      </c>
      <c r="G1322" s="94">
        <f t="shared" si="929"/>
        <v>1819303</v>
      </c>
      <c r="H1322" s="94">
        <f t="shared" si="929"/>
        <v>1220052.58</v>
      </c>
      <c r="I1322" s="613">
        <f t="shared" si="923"/>
        <v>0.23704149601709734</v>
      </c>
      <c r="J1322" s="53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</row>
    <row r="1323" spans="1:108" s="2" customFormat="1" ht="12" customHeight="1">
      <c r="A1323" s="588"/>
      <c r="B1323" s="35" t="s">
        <v>17</v>
      </c>
      <c r="C1323" s="589"/>
      <c r="D1323" s="26"/>
      <c r="E1323" s="15">
        <f t="shared" ref="E1323:H1325" si="930">E493</f>
        <v>0</v>
      </c>
      <c r="F1323" s="15">
        <f t="shared" si="930"/>
        <v>0</v>
      </c>
      <c r="G1323" s="94">
        <f t="shared" si="930"/>
        <v>0</v>
      </c>
      <c r="H1323" s="94">
        <f t="shared" si="930"/>
        <v>0</v>
      </c>
      <c r="I1323" s="613"/>
      <c r="J1323" s="53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</row>
    <row r="1324" spans="1:108" s="2" customFormat="1" ht="12" customHeight="1">
      <c r="A1324" s="588"/>
      <c r="B1324" s="35" t="s">
        <v>16</v>
      </c>
      <c r="C1324" s="589"/>
      <c r="D1324" s="26"/>
      <c r="E1324" s="15">
        <f t="shared" si="930"/>
        <v>100000</v>
      </c>
      <c r="F1324" s="15">
        <f t="shared" si="930"/>
        <v>100000</v>
      </c>
      <c r="G1324" s="94">
        <f t="shared" si="930"/>
        <v>36387</v>
      </c>
      <c r="H1324" s="94">
        <f t="shared" si="930"/>
        <v>24400.27</v>
      </c>
      <c r="I1324" s="613">
        <f>H1324/F1324</f>
        <v>0.24400270000000002</v>
      </c>
      <c r="J1324" s="53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</row>
    <row r="1325" spans="1:108" s="2" customFormat="1" ht="12" customHeight="1">
      <c r="A1325" s="588"/>
      <c r="B1325" s="589" t="s">
        <v>42</v>
      </c>
      <c r="C1325" s="589"/>
      <c r="D1325" s="26"/>
      <c r="E1325" s="15">
        <f t="shared" si="930"/>
        <v>5710000</v>
      </c>
      <c r="F1325" s="15">
        <f t="shared" si="930"/>
        <v>5047000</v>
      </c>
      <c r="G1325" s="94">
        <f t="shared" si="930"/>
        <v>1782916</v>
      </c>
      <c r="H1325" s="94">
        <f t="shared" si="930"/>
        <v>1195652.31</v>
      </c>
      <c r="I1325" s="613">
        <f>H1325/F1325</f>
        <v>0.23690356845650884</v>
      </c>
      <c r="J1325" s="53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</row>
    <row r="1326" spans="1:108" s="2" customFormat="1" ht="15" customHeight="1">
      <c r="A1326" s="646" t="s">
        <v>23</v>
      </c>
      <c r="B1326" s="647"/>
      <c r="C1326" s="647"/>
      <c r="D1326" s="16">
        <v>70</v>
      </c>
      <c r="E1326" s="15">
        <f t="shared" ref="E1326:H1328" si="931">E482</f>
        <v>1562000</v>
      </c>
      <c r="F1326" s="15">
        <f t="shared" si="931"/>
        <v>1562000</v>
      </c>
      <c r="G1326" s="94">
        <f t="shared" si="931"/>
        <v>501470</v>
      </c>
      <c r="H1326" s="94">
        <f t="shared" si="931"/>
        <v>501469.85</v>
      </c>
      <c r="I1326" s="613">
        <f>H1326/F1326</f>
        <v>0.32104343790012801</v>
      </c>
      <c r="J1326" s="53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</row>
    <row r="1327" spans="1:108" s="2" customFormat="1" ht="13.15" customHeight="1">
      <c r="A1327" s="61"/>
      <c r="B1327" s="35" t="s">
        <v>17</v>
      </c>
      <c r="C1327" s="35"/>
      <c r="D1327" s="16"/>
      <c r="E1327" s="15">
        <f t="shared" si="931"/>
        <v>215000</v>
      </c>
      <c r="F1327" s="15">
        <f t="shared" si="931"/>
        <v>215000</v>
      </c>
      <c r="G1327" s="94">
        <f t="shared" si="931"/>
        <v>0</v>
      </c>
      <c r="H1327" s="94">
        <f t="shared" si="931"/>
        <v>0</v>
      </c>
      <c r="I1327" s="613"/>
      <c r="J1327" s="53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</row>
    <row r="1328" spans="1:108" s="2" customFormat="1" ht="13.9" customHeight="1">
      <c r="A1328" s="61"/>
      <c r="B1328" s="35" t="s">
        <v>16</v>
      </c>
      <c r="C1328" s="35"/>
      <c r="D1328" s="16"/>
      <c r="E1328" s="15">
        <f t="shared" si="931"/>
        <v>1347000</v>
      </c>
      <c r="F1328" s="15">
        <f t="shared" si="931"/>
        <v>1347000</v>
      </c>
      <c r="G1328" s="94">
        <f t="shared" si="931"/>
        <v>501470</v>
      </c>
      <c r="H1328" s="94">
        <f t="shared" si="931"/>
        <v>501469.85</v>
      </c>
      <c r="I1328" s="613">
        <f>H1328/F1328</f>
        <v>0.37228645137342242</v>
      </c>
      <c r="J1328" s="53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</row>
    <row r="1329" spans="1:108" s="2" customFormat="1" ht="13.9" customHeight="1">
      <c r="A1329" s="673" t="s">
        <v>46</v>
      </c>
      <c r="B1329" s="674"/>
      <c r="C1329" s="675"/>
      <c r="D1329" s="63" t="s">
        <v>44</v>
      </c>
      <c r="E1329" s="62">
        <f t="shared" ref="E1329" si="932">E1330+E1334</f>
        <v>6115000</v>
      </c>
      <c r="F1329" s="62">
        <f t="shared" ref="F1329:G1329" si="933">F1330+F1334</f>
        <v>5452000</v>
      </c>
      <c r="G1329" s="484">
        <f t="shared" si="933"/>
        <v>1819303</v>
      </c>
      <c r="H1329" s="484">
        <f>H1330+H1334+H1337</f>
        <v>1220052.58</v>
      </c>
      <c r="I1329" s="613">
        <f>H1329/F1329</f>
        <v>0.22378073734409393</v>
      </c>
      <c r="J1329" s="53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</row>
    <row r="1330" spans="1:108" s="2" customFormat="1" ht="30" customHeight="1">
      <c r="A1330" s="676" t="s">
        <v>43</v>
      </c>
      <c r="B1330" s="677"/>
      <c r="C1330" s="678"/>
      <c r="D1330" s="26">
        <v>58</v>
      </c>
      <c r="E1330" s="15">
        <f t="shared" ref="E1330" si="934">E1331+E1332+E1333</f>
        <v>5810000</v>
      </c>
      <c r="F1330" s="15">
        <f t="shared" ref="F1330:H1330" si="935">F1331+F1332+F1333</f>
        <v>5147000</v>
      </c>
      <c r="G1330" s="94">
        <f t="shared" si="935"/>
        <v>1819303</v>
      </c>
      <c r="H1330" s="94">
        <f t="shared" si="935"/>
        <v>1220052.58</v>
      </c>
      <c r="I1330" s="613">
        <f>H1330/F1330</f>
        <v>0.23704149601709734</v>
      </c>
      <c r="J1330" s="53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</row>
    <row r="1331" spans="1:108" s="2" customFormat="1" ht="13.9" customHeight="1">
      <c r="A1331" s="588"/>
      <c r="B1331" s="35" t="s">
        <v>17</v>
      </c>
      <c r="C1331" s="589"/>
      <c r="D1331" s="26"/>
      <c r="E1331" s="15">
        <f t="shared" ref="E1331:H1333" si="936">E493</f>
        <v>0</v>
      </c>
      <c r="F1331" s="15">
        <f t="shared" si="936"/>
        <v>0</v>
      </c>
      <c r="G1331" s="94">
        <f t="shared" si="936"/>
        <v>0</v>
      </c>
      <c r="H1331" s="94">
        <f t="shared" si="936"/>
        <v>0</v>
      </c>
      <c r="I1331" s="613"/>
      <c r="J1331" s="53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</row>
    <row r="1332" spans="1:108" s="2" customFormat="1" ht="13.9" customHeight="1">
      <c r="A1332" s="588"/>
      <c r="B1332" s="35" t="s">
        <v>16</v>
      </c>
      <c r="C1332" s="589"/>
      <c r="D1332" s="26"/>
      <c r="E1332" s="15">
        <f t="shared" si="936"/>
        <v>100000</v>
      </c>
      <c r="F1332" s="15">
        <f t="shared" si="936"/>
        <v>100000</v>
      </c>
      <c r="G1332" s="94">
        <f t="shared" si="936"/>
        <v>36387</v>
      </c>
      <c r="H1332" s="94">
        <f t="shared" si="936"/>
        <v>24400.27</v>
      </c>
      <c r="I1332" s="613">
        <f>H1332/F1332</f>
        <v>0.24400270000000002</v>
      </c>
      <c r="J1332" s="53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</row>
    <row r="1333" spans="1:108" s="2" customFormat="1" ht="13.9" customHeight="1">
      <c r="A1333" s="588"/>
      <c r="B1333" s="589" t="s">
        <v>42</v>
      </c>
      <c r="C1333" s="589"/>
      <c r="D1333" s="26"/>
      <c r="E1333" s="15">
        <f t="shared" si="936"/>
        <v>5710000</v>
      </c>
      <c r="F1333" s="15">
        <f t="shared" si="936"/>
        <v>5047000</v>
      </c>
      <c r="G1333" s="94">
        <f t="shared" si="936"/>
        <v>1782916</v>
      </c>
      <c r="H1333" s="94">
        <f t="shared" si="936"/>
        <v>1195652.31</v>
      </c>
      <c r="I1333" s="613">
        <f>H1333/F1333</f>
        <v>0.23690356845650884</v>
      </c>
      <c r="J1333" s="53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</row>
    <row r="1334" spans="1:108" s="2" customFormat="1" ht="13.9" customHeight="1">
      <c r="A1334" s="646" t="s">
        <v>23</v>
      </c>
      <c r="B1334" s="647"/>
      <c r="C1334" s="647"/>
      <c r="D1334" s="16">
        <v>70</v>
      </c>
      <c r="E1334" s="15">
        <f t="shared" ref="E1334" si="937">E1335+E1336</f>
        <v>305000</v>
      </c>
      <c r="F1334" s="15">
        <f t="shared" ref="F1334:H1334" si="938">F1335+F1336</f>
        <v>305000</v>
      </c>
      <c r="G1334" s="94">
        <f t="shared" si="938"/>
        <v>0</v>
      </c>
      <c r="H1334" s="94">
        <f t="shared" si="938"/>
        <v>0</v>
      </c>
      <c r="I1334" s="613">
        <f>H1334/F1334</f>
        <v>0</v>
      </c>
      <c r="J1334" s="53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</row>
    <row r="1335" spans="1:108" s="2" customFormat="1" ht="13.9" customHeight="1">
      <c r="A1335" s="61"/>
      <c r="B1335" s="35" t="s">
        <v>17</v>
      </c>
      <c r="C1335" s="35"/>
      <c r="D1335" s="16"/>
      <c r="E1335" s="15">
        <f t="shared" ref="E1335:H1336" si="939">E501</f>
        <v>0</v>
      </c>
      <c r="F1335" s="15">
        <f t="shared" si="939"/>
        <v>0</v>
      </c>
      <c r="G1335" s="94">
        <f t="shared" si="939"/>
        <v>0</v>
      </c>
      <c r="H1335" s="94">
        <f t="shared" si="939"/>
        <v>0</v>
      </c>
      <c r="I1335" s="613"/>
      <c r="J1335" s="53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</row>
    <row r="1336" spans="1:108" s="2" customFormat="1" ht="13.9" customHeight="1">
      <c r="A1336" s="61"/>
      <c r="B1336" s="35" t="s">
        <v>16</v>
      </c>
      <c r="C1336" s="35"/>
      <c r="D1336" s="16"/>
      <c r="E1336" s="15">
        <f t="shared" si="939"/>
        <v>305000</v>
      </c>
      <c r="F1336" s="15">
        <f t="shared" si="939"/>
        <v>305000</v>
      </c>
      <c r="G1336" s="94">
        <f t="shared" si="939"/>
        <v>0</v>
      </c>
      <c r="H1336" s="94">
        <f t="shared" si="939"/>
        <v>0</v>
      </c>
      <c r="I1336" s="613">
        <f>H1336/F1336</f>
        <v>0</v>
      </c>
      <c r="J1336" s="53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</row>
    <row r="1337" spans="1:108" s="2" customFormat="1" ht="13.9" customHeight="1">
      <c r="A1337" s="519"/>
      <c r="B1337" s="80"/>
      <c r="C1337" s="520"/>
      <c r="D1337" s="16" t="s">
        <v>698</v>
      </c>
      <c r="E1337" s="15"/>
      <c r="F1337" s="15"/>
      <c r="G1337" s="94"/>
      <c r="H1337" s="94"/>
      <c r="I1337" s="613"/>
      <c r="J1337" s="53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</row>
    <row r="1338" spans="1:108" s="2" customFormat="1" ht="26.25" customHeight="1">
      <c r="A1338" s="673" t="s">
        <v>45</v>
      </c>
      <c r="B1338" s="674"/>
      <c r="C1338" s="675"/>
      <c r="D1338" s="63" t="s">
        <v>44</v>
      </c>
      <c r="E1338" s="62">
        <f t="shared" ref="E1338" si="940">E1339+E1343</f>
        <v>1257000</v>
      </c>
      <c r="F1338" s="62">
        <f t="shared" ref="F1338:H1338" si="941">F1339+F1343</f>
        <v>1257000</v>
      </c>
      <c r="G1338" s="484">
        <f t="shared" si="941"/>
        <v>501470</v>
      </c>
      <c r="H1338" s="484">
        <f t="shared" si="941"/>
        <v>501469.85</v>
      </c>
      <c r="I1338" s="616">
        <f>H1338/F1338</f>
        <v>0.3989418058870326</v>
      </c>
      <c r="J1338" s="53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</row>
    <row r="1339" spans="1:108" s="2" customFormat="1" ht="26.25" customHeight="1">
      <c r="A1339" s="676" t="s">
        <v>43</v>
      </c>
      <c r="B1339" s="677"/>
      <c r="C1339" s="678"/>
      <c r="D1339" s="26">
        <v>58</v>
      </c>
      <c r="E1339" s="15">
        <f t="shared" ref="E1339" si="942">E1340+E1341+E1342</f>
        <v>0</v>
      </c>
      <c r="F1339" s="15">
        <f t="shared" ref="F1339:H1339" si="943">F1340+F1341+F1342</f>
        <v>0</v>
      </c>
      <c r="G1339" s="94">
        <f t="shared" si="943"/>
        <v>0</v>
      </c>
      <c r="H1339" s="94">
        <f t="shared" si="943"/>
        <v>0</v>
      </c>
      <c r="I1339" s="613"/>
      <c r="J1339" s="53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</row>
    <row r="1340" spans="1:108" s="2" customFormat="1" ht="13.9" customHeight="1">
      <c r="A1340" s="588"/>
      <c r="B1340" s="35" t="s">
        <v>17</v>
      </c>
      <c r="C1340" s="589"/>
      <c r="D1340" s="26"/>
      <c r="E1340" s="15"/>
      <c r="F1340" s="15"/>
      <c r="G1340" s="94"/>
      <c r="H1340" s="94"/>
      <c r="I1340" s="613"/>
      <c r="J1340" s="53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</row>
    <row r="1341" spans="1:108" s="2" customFormat="1" ht="13.9" customHeight="1">
      <c r="A1341" s="588"/>
      <c r="B1341" s="35" t="s">
        <v>16</v>
      </c>
      <c r="C1341" s="589"/>
      <c r="D1341" s="26"/>
      <c r="E1341" s="15"/>
      <c r="F1341" s="15"/>
      <c r="G1341" s="94"/>
      <c r="H1341" s="94"/>
      <c r="I1341" s="613"/>
      <c r="J1341" s="53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</row>
    <row r="1342" spans="1:108" s="2" customFormat="1" ht="13.9" customHeight="1">
      <c r="A1342" s="588"/>
      <c r="B1342" s="589" t="s">
        <v>42</v>
      </c>
      <c r="C1342" s="589"/>
      <c r="D1342" s="26"/>
      <c r="E1342" s="15"/>
      <c r="F1342" s="15"/>
      <c r="G1342" s="94"/>
      <c r="H1342" s="94"/>
      <c r="I1342" s="613"/>
      <c r="J1342" s="53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</row>
    <row r="1343" spans="1:108" s="2" customFormat="1" ht="13.9" customHeight="1">
      <c r="A1343" s="646" t="s">
        <v>23</v>
      </c>
      <c r="B1343" s="647"/>
      <c r="C1343" s="647"/>
      <c r="D1343" s="16">
        <v>70</v>
      </c>
      <c r="E1343" s="15">
        <f t="shared" ref="E1343" si="944">E1344+E1345</f>
        <v>1257000</v>
      </c>
      <c r="F1343" s="15">
        <f t="shared" ref="F1343:H1343" si="945">F1344+F1345</f>
        <v>1257000</v>
      </c>
      <c r="G1343" s="94">
        <f t="shared" si="945"/>
        <v>501470</v>
      </c>
      <c r="H1343" s="94">
        <f t="shared" si="945"/>
        <v>501469.85</v>
      </c>
      <c r="I1343" s="613">
        <f>H1343/F1343</f>
        <v>0.3989418058870326</v>
      </c>
      <c r="J1343" s="53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</row>
    <row r="1344" spans="1:108" s="2" customFormat="1" ht="13.9" customHeight="1">
      <c r="A1344" s="61"/>
      <c r="B1344" s="35" t="s">
        <v>17</v>
      </c>
      <c r="C1344" s="35"/>
      <c r="D1344" s="16"/>
      <c r="E1344" s="15">
        <f t="shared" ref="E1344:H1345" si="946">E511</f>
        <v>215000</v>
      </c>
      <c r="F1344" s="15">
        <f t="shared" si="946"/>
        <v>215000</v>
      </c>
      <c r="G1344" s="94">
        <f t="shared" si="946"/>
        <v>0</v>
      </c>
      <c r="H1344" s="94">
        <f t="shared" si="946"/>
        <v>0</v>
      </c>
      <c r="I1344" s="613"/>
      <c r="J1344" s="53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</row>
    <row r="1345" spans="1:108" s="2" customFormat="1" ht="13.9" customHeight="1">
      <c r="A1345" s="61"/>
      <c r="B1345" s="35" t="s">
        <v>16</v>
      </c>
      <c r="C1345" s="35"/>
      <c r="D1345" s="16"/>
      <c r="E1345" s="15">
        <f t="shared" si="946"/>
        <v>1042000</v>
      </c>
      <c r="F1345" s="15">
        <f t="shared" si="946"/>
        <v>1042000</v>
      </c>
      <c r="G1345" s="94">
        <f t="shared" si="946"/>
        <v>501470</v>
      </c>
      <c r="H1345" s="94">
        <f t="shared" si="946"/>
        <v>501469.85</v>
      </c>
      <c r="I1345" s="613">
        <f>H1345/F1345</f>
        <v>0.48125705374280225</v>
      </c>
      <c r="J1345" s="53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</row>
    <row r="1346" spans="1:108" s="2" customFormat="1" ht="15" hidden="1" customHeight="1">
      <c r="A1346" s="648" t="s">
        <v>41</v>
      </c>
      <c r="B1346" s="649"/>
      <c r="C1346" s="650"/>
      <c r="D1346" s="60">
        <v>51</v>
      </c>
      <c r="E1346" s="53">
        <f t="shared" ref="E1346:H1347" si="947">E1347</f>
        <v>0</v>
      </c>
      <c r="F1346" s="53">
        <f t="shared" si="947"/>
        <v>0</v>
      </c>
      <c r="G1346" s="470">
        <f t="shared" si="947"/>
        <v>0</v>
      </c>
      <c r="H1346" s="470">
        <f t="shared" si="947"/>
        <v>0</v>
      </c>
      <c r="I1346" s="613"/>
      <c r="J1346" s="53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</row>
    <row r="1347" spans="1:108" s="2" customFormat="1" ht="12.75" hidden="1" customHeight="1">
      <c r="A1347" s="651" t="s">
        <v>4</v>
      </c>
      <c r="B1347" s="652"/>
      <c r="C1347" s="652"/>
      <c r="D1347" s="59">
        <v>51</v>
      </c>
      <c r="E1347" s="15">
        <f t="shared" si="947"/>
        <v>0</v>
      </c>
      <c r="F1347" s="15">
        <f t="shared" si="947"/>
        <v>0</v>
      </c>
      <c r="G1347" s="94">
        <f t="shared" si="947"/>
        <v>0</v>
      </c>
      <c r="H1347" s="94">
        <f t="shared" si="947"/>
        <v>0</v>
      </c>
      <c r="I1347" s="613"/>
      <c r="J1347" s="53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</row>
    <row r="1348" spans="1:108" s="2" customFormat="1" ht="15" hidden="1" customHeight="1">
      <c r="A1348" s="51"/>
      <c r="B1348" s="653" t="s">
        <v>40</v>
      </c>
      <c r="C1348" s="654"/>
      <c r="D1348" s="21" t="s">
        <v>39</v>
      </c>
      <c r="E1348" s="15"/>
      <c r="F1348" s="15"/>
      <c r="G1348" s="94"/>
      <c r="H1348" s="94"/>
      <c r="I1348" s="613"/>
      <c r="J1348" s="53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</row>
    <row r="1349" spans="1:108" s="2" customFormat="1" ht="15" hidden="1" customHeight="1">
      <c r="A1349" s="588"/>
      <c r="B1349" s="36"/>
      <c r="C1349" s="35" t="s">
        <v>17</v>
      </c>
      <c r="D1349" s="26"/>
      <c r="E1349" s="15"/>
      <c r="F1349" s="15"/>
      <c r="G1349" s="94"/>
      <c r="H1349" s="94"/>
      <c r="I1349" s="613"/>
      <c r="J1349" s="53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</row>
    <row r="1350" spans="1:108" s="2" customFormat="1" ht="15" hidden="1" customHeight="1">
      <c r="A1350" s="588"/>
      <c r="B1350" s="36"/>
      <c r="C1350" s="35" t="s">
        <v>16</v>
      </c>
      <c r="D1350" s="26"/>
      <c r="E1350" s="15"/>
      <c r="F1350" s="15"/>
      <c r="G1350" s="94"/>
      <c r="H1350" s="94"/>
      <c r="I1350" s="613"/>
      <c r="J1350" s="53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</row>
    <row r="1351" spans="1:108" s="2" customFormat="1" ht="13.9" hidden="1" customHeight="1">
      <c r="A1351" s="58" t="s">
        <v>38</v>
      </c>
      <c r="B1351" s="57"/>
      <c r="C1351" s="56"/>
      <c r="D1351" s="20" t="s">
        <v>37</v>
      </c>
      <c r="E1351" s="19">
        <f t="shared" ref="E1351:H1351" si="948">E1352</f>
        <v>0</v>
      </c>
      <c r="F1351" s="19">
        <f t="shared" si="948"/>
        <v>0</v>
      </c>
      <c r="G1351" s="97">
        <f t="shared" si="948"/>
        <v>0</v>
      </c>
      <c r="H1351" s="97">
        <f t="shared" si="948"/>
        <v>0</v>
      </c>
      <c r="I1351" s="613"/>
      <c r="J1351" s="53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</row>
    <row r="1352" spans="1:108" s="2" customFormat="1" ht="13.9" hidden="1" customHeight="1">
      <c r="A1352" s="55"/>
      <c r="B1352" s="655" t="s">
        <v>36</v>
      </c>
      <c r="C1352" s="656"/>
      <c r="D1352" s="54"/>
      <c r="E1352" s="53">
        <v>0</v>
      </c>
      <c r="F1352" s="53">
        <v>0</v>
      </c>
      <c r="G1352" s="470">
        <v>0</v>
      </c>
      <c r="H1352" s="470">
        <v>0</v>
      </c>
      <c r="I1352" s="613"/>
      <c r="J1352" s="53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</row>
    <row r="1353" spans="1:108" s="2" customFormat="1" ht="13.5" hidden="1" customHeight="1">
      <c r="A1353" s="51"/>
      <c r="B1353" s="35" t="s">
        <v>34</v>
      </c>
      <c r="C1353" s="52"/>
      <c r="D1353" s="26">
        <v>55</v>
      </c>
      <c r="E1353" s="15"/>
      <c r="F1353" s="15"/>
      <c r="G1353" s="94"/>
      <c r="H1353" s="94"/>
      <c r="I1353" s="613"/>
      <c r="J1353" s="53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</row>
    <row r="1354" spans="1:108" s="2" customFormat="1" ht="15" hidden="1" customHeight="1">
      <c r="A1354" s="638" t="s">
        <v>676</v>
      </c>
      <c r="B1354" s="639"/>
      <c r="C1354" s="639"/>
      <c r="D1354" s="20">
        <v>80.02</v>
      </c>
      <c r="E1354" s="50">
        <f t="shared" ref="E1354:H1354" si="949">E1355</f>
        <v>0</v>
      </c>
      <c r="F1354" s="50">
        <f t="shared" si="949"/>
        <v>0</v>
      </c>
      <c r="G1354" s="473">
        <f t="shared" si="949"/>
        <v>0</v>
      </c>
      <c r="H1354" s="473">
        <f t="shared" si="949"/>
        <v>0</v>
      </c>
      <c r="I1354" s="613"/>
      <c r="J1354" s="53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</row>
    <row r="1355" spans="1:108" s="2" customFormat="1" ht="15" hidden="1" customHeight="1">
      <c r="A1355" s="51"/>
      <c r="B1355" s="636" t="s">
        <v>34</v>
      </c>
      <c r="C1355" s="637"/>
      <c r="D1355" s="26">
        <v>55</v>
      </c>
      <c r="E1355" s="50">
        <f>E545</f>
        <v>0</v>
      </c>
      <c r="F1355" s="50">
        <f>F545</f>
        <v>0</v>
      </c>
      <c r="G1355" s="473">
        <f>G545</f>
        <v>0</v>
      </c>
      <c r="H1355" s="473">
        <f>H545</f>
        <v>0</v>
      </c>
      <c r="I1355" s="613"/>
      <c r="J1355" s="53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</row>
    <row r="1356" spans="1:108" s="2" customFormat="1" ht="15" hidden="1" customHeight="1">
      <c r="A1356" s="638" t="s">
        <v>33</v>
      </c>
      <c r="B1356" s="639"/>
      <c r="C1356" s="639"/>
      <c r="D1356" s="49">
        <v>74.02</v>
      </c>
      <c r="E1356" s="19">
        <f t="shared" ref="E1356" si="950">E1357+E1361</f>
        <v>0</v>
      </c>
      <c r="F1356" s="19">
        <f t="shared" ref="F1356:H1356" si="951">F1357+F1361</f>
        <v>0</v>
      </c>
      <c r="G1356" s="97">
        <f t="shared" si="951"/>
        <v>0</v>
      </c>
      <c r="H1356" s="97">
        <f t="shared" si="951"/>
        <v>0</v>
      </c>
      <c r="I1356" s="613"/>
      <c r="J1356" s="53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</row>
    <row r="1357" spans="1:108" s="2" customFormat="1" ht="15" hidden="1" customHeight="1">
      <c r="A1357" s="640" t="s">
        <v>32</v>
      </c>
      <c r="B1357" s="641"/>
      <c r="C1357" s="641"/>
      <c r="D1357" s="16">
        <v>56</v>
      </c>
      <c r="E1357" s="15">
        <f t="shared" ref="E1357:H1363" si="952">E529</f>
        <v>0</v>
      </c>
      <c r="F1357" s="15">
        <f t="shared" si="952"/>
        <v>0</v>
      </c>
      <c r="G1357" s="94">
        <f t="shared" si="952"/>
        <v>0</v>
      </c>
      <c r="H1357" s="94">
        <f t="shared" si="952"/>
        <v>0</v>
      </c>
      <c r="I1357" s="613"/>
      <c r="J1357" s="53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</row>
    <row r="1358" spans="1:108" s="2" customFormat="1" ht="12.75" hidden="1" customHeight="1">
      <c r="A1358" s="588"/>
      <c r="B1358" s="36"/>
      <c r="C1358" s="35" t="s">
        <v>17</v>
      </c>
      <c r="D1358" s="16"/>
      <c r="E1358" s="15">
        <f t="shared" si="952"/>
        <v>0</v>
      </c>
      <c r="F1358" s="15">
        <f t="shared" si="952"/>
        <v>0</v>
      </c>
      <c r="G1358" s="94">
        <f t="shared" si="952"/>
        <v>0</v>
      </c>
      <c r="H1358" s="94">
        <f t="shared" si="952"/>
        <v>0</v>
      </c>
      <c r="I1358" s="613"/>
      <c r="J1358" s="53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</row>
    <row r="1359" spans="1:108" s="2" customFormat="1" ht="12.75" hidden="1" customHeight="1">
      <c r="A1359" s="588"/>
      <c r="B1359" s="36"/>
      <c r="C1359" s="35" t="s">
        <v>16</v>
      </c>
      <c r="D1359" s="16"/>
      <c r="E1359" s="15">
        <f t="shared" si="952"/>
        <v>0</v>
      </c>
      <c r="F1359" s="15">
        <f t="shared" si="952"/>
        <v>0</v>
      </c>
      <c r="G1359" s="94">
        <f t="shared" si="952"/>
        <v>0</v>
      </c>
      <c r="H1359" s="94">
        <f t="shared" si="952"/>
        <v>0</v>
      </c>
      <c r="I1359" s="613"/>
      <c r="J1359" s="53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</row>
    <row r="1360" spans="1:108" s="2" customFormat="1" ht="12.75" hidden="1" customHeight="1">
      <c r="A1360" s="588"/>
      <c r="B1360" s="589"/>
      <c r="C1360" s="33" t="s">
        <v>15</v>
      </c>
      <c r="D1360" s="16"/>
      <c r="E1360" s="15">
        <f t="shared" si="952"/>
        <v>0</v>
      </c>
      <c r="F1360" s="15">
        <f t="shared" si="952"/>
        <v>0</v>
      </c>
      <c r="G1360" s="94">
        <f t="shared" si="952"/>
        <v>0</v>
      </c>
      <c r="H1360" s="94">
        <f t="shared" si="952"/>
        <v>0</v>
      </c>
      <c r="I1360" s="613"/>
      <c r="J1360" s="53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</row>
    <row r="1361" spans="1:108" s="2" customFormat="1" ht="13.15" hidden="1" customHeight="1">
      <c r="A1361" s="642" t="s">
        <v>31</v>
      </c>
      <c r="B1361" s="643"/>
      <c r="C1361" s="643"/>
      <c r="D1361" s="16">
        <v>70</v>
      </c>
      <c r="E1361" s="15">
        <f t="shared" si="952"/>
        <v>0</v>
      </c>
      <c r="F1361" s="15">
        <f t="shared" si="952"/>
        <v>0</v>
      </c>
      <c r="G1361" s="94">
        <f t="shared" si="952"/>
        <v>0</v>
      </c>
      <c r="H1361" s="94">
        <f t="shared" si="952"/>
        <v>0</v>
      </c>
      <c r="I1361" s="613"/>
      <c r="J1361" s="53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</row>
    <row r="1362" spans="1:108" s="2" customFormat="1" ht="13.15" hidden="1" customHeight="1">
      <c r="A1362" s="588"/>
      <c r="B1362" s="36"/>
      <c r="C1362" s="35" t="s">
        <v>17</v>
      </c>
      <c r="D1362" s="16"/>
      <c r="E1362" s="15">
        <f t="shared" si="952"/>
        <v>0</v>
      </c>
      <c r="F1362" s="15">
        <f t="shared" si="952"/>
        <v>0</v>
      </c>
      <c r="G1362" s="94">
        <f t="shared" si="952"/>
        <v>0</v>
      </c>
      <c r="H1362" s="94">
        <f t="shared" si="952"/>
        <v>0</v>
      </c>
      <c r="I1362" s="613"/>
      <c r="J1362" s="53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</row>
    <row r="1363" spans="1:108" s="2" customFormat="1" ht="13.15" hidden="1" customHeight="1">
      <c r="A1363" s="588"/>
      <c r="B1363" s="36"/>
      <c r="C1363" s="35" t="s">
        <v>16</v>
      </c>
      <c r="D1363" s="16"/>
      <c r="E1363" s="15">
        <f t="shared" si="952"/>
        <v>0</v>
      </c>
      <c r="F1363" s="15">
        <f t="shared" si="952"/>
        <v>0</v>
      </c>
      <c r="G1363" s="94">
        <f t="shared" si="952"/>
        <v>0</v>
      </c>
      <c r="H1363" s="94">
        <f t="shared" si="952"/>
        <v>0</v>
      </c>
      <c r="I1363" s="613"/>
      <c r="J1363" s="53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</row>
    <row r="1364" spans="1:108" s="2" customFormat="1" ht="15" customHeight="1">
      <c r="A1364" s="644" t="s">
        <v>30</v>
      </c>
      <c r="B1364" s="645"/>
      <c r="C1364" s="645"/>
      <c r="D1364" s="20" t="s">
        <v>29</v>
      </c>
      <c r="E1364" s="19">
        <f t="shared" ref="E1364" si="953">E1369+E1389+E1393</f>
        <v>178971000</v>
      </c>
      <c r="F1364" s="19">
        <f t="shared" ref="F1364:H1364" si="954">F1369+F1389+F1393</f>
        <v>108709000</v>
      </c>
      <c r="G1364" s="97">
        <f t="shared" si="954"/>
        <v>27783500</v>
      </c>
      <c r="H1364" s="97">
        <f t="shared" si="954"/>
        <v>19467546.66</v>
      </c>
      <c r="I1364" s="613">
        <f>H1364/F1364</f>
        <v>0.17907943831697468</v>
      </c>
      <c r="J1364" s="53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</row>
    <row r="1365" spans="1:108" s="2" customFormat="1" ht="15" customHeight="1">
      <c r="A1365" s="640" t="s">
        <v>25</v>
      </c>
      <c r="B1365" s="641"/>
      <c r="C1365" s="641"/>
      <c r="D1365" s="16">
        <v>58</v>
      </c>
      <c r="E1365" s="28">
        <f t="shared" ref="E1365" si="955">E1374</f>
        <v>126217000</v>
      </c>
      <c r="F1365" s="28">
        <f t="shared" ref="F1365:H1365" si="956">F1374</f>
        <v>55955000</v>
      </c>
      <c r="G1365" s="10">
        <f t="shared" si="956"/>
        <v>18907000</v>
      </c>
      <c r="H1365" s="10">
        <f t="shared" si="956"/>
        <v>11605813.310000001</v>
      </c>
      <c r="I1365" s="613">
        <f>H1365/F1365</f>
        <v>0.20741333768206596</v>
      </c>
      <c r="J1365" s="53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</row>
    <row r="1366" spans="1:108" ht="15" customHeight="1">
      <c r="A1366" s="646" t="s">
        <v>23</v>
      </c>
      <c r="B1366" s="647"/>
      <c r="C1366" s="647"/>
      <c r="D1366" s="16">
        <v>70</v>
      </c>
      <c r="E1366" s="28">
        <f>E1378+E1392</f>
        <v>51952000</v>
      </c>
      <c r="F1366" s="28">
        <f t="shared" ref="F1366:H1366" si="957">F1378+F1392</f>
        <v>51952000</v>
      </c>
      <c r="G1366" s="10">
        <f t="shared" si="957"/>
        <v>8876500</v>
      </c>
      <c r="H1366" s="10">
        <f t="shared" si="957"/>
        <v>7869305.4699999997</v>
      </c>
      <c r="I1366" s="613">
        <f>H1366/F1366</f>
        <v>0.15147261837850323</v>
      </c>
    </row>
    <row r="1367" spans="1:108" ht="15" customHeight="1">
      <c r="A1367" s="48" t="s">
        <v>28</v>
      </c>
      <c r="B1367" s="589"/>
      <c r="C1367" s="47"/>
      <c r="D1367" s="32">
        <v>81.040000000000006</v>
      </c>
      <c r="E1367" s="28">
        <f t="shared" ref="E1367" si="958">E1384</f>
        <v>0</v>
      </c>
      <c r="F1367" s="28">
        <f t="shared" ref="F1367:H1367" si="959">F1384</f>
        <v>0</v>
      </c>
      <c r="G1367" s="10">
        <f t="shared" si="959"/>
        <v>0</v>
      </c>
      <c r="H1367" s="10">
        <f t="shared" si="959"/>
        <v>0</v>
      </c>
      <c r="I1367" s="613"/>
      <c r="L1367" s="45"/>
    </row>
    <row r="1368" spans="1:108" ht="41.25" customHeight="1">
      <c r="A1368" s="661" t="s">
        <v>14</v>
      </c>
      <c r="B1368" s="662"/>
      <c r="C1368" s="663"/>
      <c r="D1368" s="15" t="s">
        <v>13</v>
      </c>
      <c r="E1368" s="28">
        <f>E567</f>
        <v>0</v>
      </c>
      <c r="F1368" s="28">
        <f>F567</f>
        <v>0</v>
      </c>
      <c r="G1368" s="10">
        <f>G567</f>
        <v>0</v>
      </c>
      <c r="H1368" s="10">
        <f>H567</f>
        <v>-7572.12</v>
      </c>
      <c r="I1368" s="613"/>
      <c r="M1368" s="45"/>
    </row>
    <row r="1369" spans="1:108" s="44" customFormat="1" ht="16.149999999999999" customHeight="1">
      <c r="A1369" s="31"/>
      <c r="B1369" s="664" t="s">
        <v>27</v>
      </c>
      <c r="C1369" s="665"/>
      <c r="D1369" s="30" t="s">
        <v>26</v>
      </c>
      <c r="E1369" s="46">
        <f t="shared" ref="E1369" si="960">E1370+E1378+E1384+E1374+E1388</f>
        <v>173669000</v>
      </c>
      <c r="F1369" s="46">
        <f t="shared" ref="F1369:H1369" si="961">F1370+F1378+F1384+F1374+F1388</f>
        <v>103407000</v>
      </c>
      <c r="G1369" s="485">
        <f t="shared" si="961"/>
        <v>27783500</v>
      </c>
      <c r="H1369" s="485">
        <f t="shared" si="961"/>
        <v>19467546.66</v>
      </c>
      <c r="I1369" s="613">
        <f>H1369/F1369</f>
        <v>0.18826140067887087</v>
      </c>
      <c r="J1369" s="537"/>
      <c r="K1369" s="45"/>
      <c r="L1369" s="2"/>
      <c r="M1369" s="2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</row>
    <row r="1370" spans="1:108" ht="15" customHeight="1">
      <c r="A1370" s="640" t="s">
        <v>25</v>
      </c>
      <c r="B1370" s="641"/>
      <c r="C1370" s="641"/>
      <c r="D1370" s="16">
        <v>56</v>
      </c>
      <c r="E1370" s="15">
        <f t="shared" ref="E1370:H1373" si="962">E573</f>
        <v>0</v>
      </c>
      <c r="F1370" s="15">
        <f t="shared" si="962"/>
        <v>0</v>
      </c>
      <c r="G1370" s="94">
        <f t="shared" si="962"/>
        <v>0</v>
      </c>
      <c r="H1370" s="94">
        <f t="shared" si="962"/>
        <v>0</v>
      </c>
      <c r="I1370" s="613"/>
    </row>
    <row r="1371" spans="1:108" ht="13.9" customHeight="1">
      <c r="A1371" s="588"/>
      <c r="B1371" s="36"/>
      <c r="C1371" s="35" t="s">
        <v>17</v>
      </c>
      <c r="D1371" s="16"/>
      <c r="E1371" s="15">
        <f t="shared" si="962"/>
        <v>0</v>
      </c>
      <c r="F1371" s="15">
        <f t="shared" si="962"/>
        <v>0</v>
      </c>
      <c r="G1371" s="94">
        <f t="shared" si="962"/>
        <v>0</v>
      </c>
      <c r="H1371" s="94">
        <f t="shared" si="962"/>
        <v>0</v>
      </c>
      <c r="I1371" s="613"/>
    </row>
    <row r="1372" spans="1:108" ht="15" customHeight="1">
      <c r="A1372" s="588"/>
      <c r="B1372" s="36"/>
      <c r="C1372" s="35" t="s">
        <v>16</v>
      </c>
      <c r="D1372" s="16"/>
      <c r="E1372" s="15">
        <f t="shared" si="962"/>
        <v>0</v>
      </c>
      <c r="F1372" s="15">
        <f t="shared" si="962"/>
        <v>0</v>
      </c>
      <c r="G1372" s="94">
        <f t="shared" si="962"/>
        <v>0</v>
      </c>
      <c r="H1372" s="94">
        <f t="shared" si="962"/>
        <v>0</v>
      </c>
      <c r="I1372" s="613"/>
    </row>
    <row r="1373" spans="1:108" ht="15" customHeight="1">
      <c r="A1373" s="588"/>
      <c r="B1373" s="589"/>
      <c r="C1373" s="33" t="s">
        <v>15</v>
      </c>
      <c r="D1373" s="16"/>
      <c r="E1373" s="15">
        <f t="shared" si="962"/>
        <v>0</v>
      </c>
      <c r="F1373" s="15">
        <f t="shared" si="962"/>
        <v>0</v>
      </c>
      <c r="G1373" s="94">
        <f t="shared" si="962"/>
        <v>0</v>
      </c>
      <c r="H1373" s="94">
        <f t="shared" si="962"/>
        <v>0</v>
      </c>
      <c r="I1373" s="613"/>
    </row>
    <row r="1374" spans="1:108" ht="15" customHeight="1">
      <c r="A1374" s="640" t="s">
        <v>24</v>
      </c>
      <c r="B1374" s="641"/>
      <c r="C1374" s="641"/>
      <c r="D1374" s="16">
        <v>58</v>
      </c>
      <c r="E1374" s="15">
        <f t="shared" ref="E1374:H1383" si="963">E578</f>
        <v>126217000</v>
      </c>
      <c r="F1374" s="15">
        <f t="shared" si="963"/>
        <v>55955000</v>
      </c>
      <c r="G1374" s="94">
        <f t="shared" si="963"/>
        <v>18907000</v>
      </c>
      <c r="H1374" s="94">
        <f t="shared" si="963"/>
        <v>11605813.310000001</v>
      </c>
      <c r="I1374" s="613">
        <f>H1374/F1374</f>
        <v>0.20741333768206596</v>
      </c>
    </row>
    <row r="1375" spans="1:108" ht="13.9" customHeight="1">
      <c r="A1375" s="588"/>
      <c r="B1375" s="36"/>
      <c r="C1375" s="35" t="s">
        <v>17</v>
      </c>
      <c r="D1375" s="16"/>
      <c r="E1375" s="15">
        <f t="shared" si="963"/>
        <v>0</v>
      </c>
      <c r="F1375" s="15">
        <f t="shared" si="963"/>
        <v>0</v>
      </c>
      <c r="G1375" s="94">
        <f t="shared" si="963"/>
        <v>0</v>
      </c>
      <c r="H1375" s="94">
        <f t="shared" si="963"/>
        <v>0</v>
      </c>
      <c r="I1375" s="613"/>
    </row>
    <row r="1376" spans="1:108" ht="15" customHeight="1">
      <c r="A1376" s="588"/>
      <c r="B1376" s="36"/>
      <c r="C1376" s="35" t="s">
        <v>16</v>
      </c>
      <c r="D1376" s="16"/>
      <c r="E1376" s="15">
        <f t="shared" si="963"/>
        <v>3373000</v>
      </c>
      <c r="F1376" s="15">
        <f t="shared" si="963"/>
        <v>1380000</v>
      </c>
      <c r="G1376" s="94">
        <f t="shared" si="963"/>
        <v>490840</v>
      </c>
      <c r="H1376" s="94">
        <f t="shared" si="963"/>
        <v>274813.09000000003</v>
      </c>
      <c r="I1376" s="613">
        <f>H1376/F1376</f>
        <v>0.19913992028985508</v>
      </c>
    </row>
    <row r="1377" spans="1:108" ht="15" customHeight="1">
      <c r="A1377" s="588"/>
      <c r="B1377" s="589"/>
      <c r="C1377" s="33" t="s">
        <v>15</v>
      </c>
      <c r="D1377" s="16"/>
      <c r="E1377" s="15">
        <f t="shared" si="963"/>
        <v>122844000</v>
      </c>
      <c r="F1377" s="15">
        <f t="shared" si="963"/>
        <v>54575000</v>
      </c>
      <c r="G1377" s="94">
        <f t="shared" si="963"/>
        <v>18416160</v>
      </c>
      <c r="H1377" s="94">
        <f t="shared" si="963"/>
        <v>11331000.220000001</v>
      </c>
      <c r="I1377" s="613">
        <f>H1377/F1377</f>
        <v>0.20762254182317913</v>
      </c>
    </row>
    <row r="1378" spans="1:108" ht="15" customHeight="1">
      <c r="A1378" s="646" t="s">
        <v>23</v>
      </c>
      <c r="B1378" s="647"/>
      <c r="C1378" s="647"/>
      <c r="D1378" s="16">
        <v>70</v>
      </c>
      <c r="E1378" s="15">
        <f t="shared" si="963"/>
        <v>47452000</v>
      </c>
      <c r="F1378" s="15">
        <f t="shared" si="963"/>
        <v>47452000</v>
      </c>
      <c r="G1378" s="94">
        <f t="shared" si="963"/>
        <v>8876500</v>
      </c>
      <c r="H1378" s="94">
        <f t="shared" si="963"/>
        <v>7869305.4699999997</v>
      </c>
      <c r="I1378" s="613">
        <f>H1378/F1378</f>
        <v>0.16583717166821207</v>
      </c>
    </row>
    <row r="1379" spans="1:108" ht="15" customHeight="1">
      <c r="A1379" s="588"/>
      <c r="B1379" s="36"/>
      <c r="C1379" s="35" t="s">
        <v>17</v>
      </c>
      <c r="D1379" s="16"/>
      <c r="E1379" s="15">
        <f t="shared" si="963"/>
        <v>0</v>
      </c>
      <c r="F1379" s="15">
        <f t="shared" si="963"/>
        <v>0</v>
      </c>
      <c r="G1379" s="94">
        <f t="shared" si="963"/>
        <v>0</v>
      </c>
      <c r="H1379" s="94">
        <f t="shared" si="963"/>
        <v>0</v>
      </c>
      <c r="I1379" s="613"/>
    </row>
    <row r="1380" spans="1:108" ht="15" customHeight="1">
      <c r="A1380" s="588"/>
      <c r="B1380" s="36"/>
      <c r="C1380" s="35" t="s">
        <v>16</v>
      </c>
      <c r="D1380" s="16"/>
      <c r="E1380" s="15">
        <f t="shared" si="963"/>
        <v>20070000</v>
      </c>
      <c r="F1380" s="15">
        <f t="shared" si="963"/>
        <v>20070000</v>
      </c>
      <c r="G1380" s="94">
        <f t="shared" si="963"/>
        <v>8876500</v>
      </c>
      <c r="H1380" s="94">
        <f t="shared" si="963"/>
        <v>7869305.4699999997</v>
      </c>
      <c r="I1380" s="613">
        <f>H1380/F1380</f>
        <v>0.3920929481813652</v>
      </c>
    </row>
    <row r="1381" spans="1:108" ht="15" customHeight="1">
      <c r="A1381" s="588"/>
      <c r="B1381" s="36"/>
      <c r="C1381" s="43" t="s">
        <v>22</v>
      </c>
      <c r="D1381" s="38"/>
      <c r="E1381" s="42">
        <f t="shared" si="963"/>
        <v>27382000</v>
      </c>
      <c r="F1381" s="42">
        <f t="shared" si="963"/>
        <v>27382000</v>
      </c>
      <c r="G1381" s="486">
        <f t="shared" si="963"/>
        <v>0</v>
      </c>
      <c r="H1381" s="486">
        <f t="shared" si="963"/>
        <v>0</v>
      </c>
      <c r="I1381" s="613">
        <f>H1381/F1381</f>
        <v>0</v>
      </c>
    </row>
    <row r="1382" spans="1:108" s="2" customFormat="1" ht="15" customHeight="1">
      <c r="A1382" s="588"/>
      <c r="B1382" s="36"/>
      <c r="C1382" s="41" t="s">
        <v>21</v>
      </c>
      <c r="D1382" s="38"/>
      <c r="E1382" s="37">
        <f t="shared" si="963"/>
        <v>0</v>
      </c>
      <c r="F1382" s="37">
        <f t="shared" si="963"/>
        <v>0</v>
      </c>
      <c r="G1382" s="487">
        <f t="shared" si="963"/>
        <v>0</v>
      </c>
      <c r="H1382" s="487">
        <f t="shared" si="963"/>
        <v>0</v>
      </c>
      <c r="I1382" s="613"/>
      <c r="J1382" s="53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</row>
    <row r="1383" spans="1:108" s="2" customFormat="1" ht="15" customHeight="1">
      <c r="A1383" s="425"/>
      <c r="B1383" s="40"/>
      <c r="C1383" s="39" t="s">
        <v>20</v>
      </c>
      <c r="D1383" s="38"/>
      <c r="E1383" s="37">
        <f t="shared" si="963"/>
        <v>0</v>
      </c>
      <c r="F1383" s="37">
        <f t="shared" si="963"/>
        <v>0</v>
      </c>
      <c r="G1383" s="487">
        <f t="shared" si="963"/>
        <v>0</v>
      </c>
      <c r="H1383" s="487">
        <f t="shared" si="963"/>
        <v>0</v>
      </c>
      <c r="I1383" s="613"/>
      <c r="J1383" s="53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</row>
    <row r="1384" spans="1:108" s="2" customFormat="1" ht="15" hidden="1" customHeight="1">
      <c r="A1384" s="658" t="s">
        <v>19</v>
      </c>
      <c r="B1384" s="659"/>
      <c r="C1384" s="660"/>
      <c r="D1384" s="32" t="s">
        <v>18</v>
      </c>
      <c r="E1384" s="15">
        <f t="shared" ref="E1384" si="964">E1385+E1386+E1387</f>
        <v>0</v>
      </c>
      <c r="F1384" s="15">
        <f t="shared" ref="F1384:H1384" si="965">F1385+F1386+F1387</f>
        <v>0</v>
      </c>
      <c r="G1384" s="94">
        <f t="shared" si="965"/>
        <v>0</v>
      </c>
      <c r="H1384" s="94">
        <f t="shared" si="965"/>
        <v>0</v>
      </c>
      <c r="I1384" s="613"/>
      <c r="J1384" s="53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</row>
    <row r="1385" spans="1:108" s="2" customFormat="1" ht="15" hidden="1" customHeight="1">
      <c r="A1385" s="34"/>
      <c r="B1385" s="36"/>
      <c r="C1385" s="35" t="s">
        <v>17</v>
      </c>
      <c r="D1385" s="32"/>
      <c r="E1385" s="15"/>
      <c r="F1385" s="15"/>
      <c r="G1385" s="94"/>
      <c r="H1385" s="94"/>
      <c r="I1385" s="613"/>
      <c r="J1385" s="53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</row>
    <row r="1386" spans="1:108" s="2" customFormat="1" ht="15" hidden="1" customHeight="1">
      <c r="A1386" s="34"/>
      <c r="B1386" s="36"/>
      <c r="C1386" s="35" t="s">
        <v>16</v>
      </c>
      <c r="D1386" s="32"/>
      <c r="E1386" s="15">
        <f>E592</f>
        <v>0</v>
      </c>
      <c r="F1386" s="15">
        <f>F592</f>
        <v>0</v>
      </c>
      <c r="G1386" s="94">
        <f>G592</f>
        <v>0</v>
      </c>
      <c r="H1386" s="94">
        <f>H592</f>
        <v>0</v>
      </c>
      <c r="I1386" s="613"/>
      <c r="J1386" s="53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</row>
    <row r="1387" spans="1:108" s="2" customFormat="1" ht="15" hidden="1" customHeight="1">
      <c r="A1387" s="34"/>
      <c r="B1387" s="589"/>
      <c r="C1387" s="33" t="s">
        <v>15</v>
      </c>
      <c r="D1387" s="32"/>
      <c r="E1387" s="15"/>
      <c r="F1387" s="15"/>
      <c r="G1387" s="94"/>
      <c r="H1387" s="94"/>
      <c r="I1387" s="613"/>
      <c r="J1387" s="53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</row>
    <row r="1388" spans="1:108" s="2" customFormat="1" ht="42" customHeight="1">
      <c r="A1388" s="661" t="s">
        <v>14</v>
      </c>
      <c r="B1388" s="662"/>
      <c r="C1388" s="663"/>
      <c r="D1388" s="15" t="s">
        <v>13</v>
      </c>
      <c r="E1388" s="15">
        <f>E596</f>
        <v>0</v>
      </c>
      <c r="F1388" s="15">
        <f>F596</f>
        <v>0</v>
      </c>
      <c r="G1388" s="94">
        <f>G596</f>
        <v>0</v>
      </c>
      <c r="H1388" s="94">
        <f>H596</f>
        <v>-7572.12</v>
      </c>
      <c r="I1388" s="613"/>
      <c r="J1388" s="53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</row>
    <row r="1389" spans="1:108" s="2" customFormat="1" ht="13.9" customHeight="1">
      <c r="A1389" s="31"/>
      <c r="B1389" s="664" t="s">
        <v>12</v>
      </c>
      <c r="C1389" s="665"/>
      <c r="D1389" s="30" t="s">
        <v>11</v>
      </c>
      <c r="E1389" s="23">
        <f>E1390+E1392</f>
        <v>4500000</v>
      </c>
      <c r="F1389" s="23">
        <f t="shared" ref="F1389:H1389" si="966">F1390+F1392</f>
        <v>4500000</v>
      </c>
      <c r="G1389" s="101">
        <f t="shared" si="966"/>
        <v>0</v>
      </c>
      <c r="H1389" s="101">
        <f t="shared" si="966"/>
        <v>0</v>
      </c>
      <c r="I1389" s="613">
        <f t="shared" ref="I1389:I1392" si="967">H1389/F1389</f>
        <v>0</v>
      </c>
      <c r="J1389" s="53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</row>
    <row r="1390" spans="1:108" s="2" customFormat="1" ht="15" customHeight="1">
      <c r="A1390" s="666" t="s">
        <v>10</v>
      </c>
      <c r="B1390" s="667"/>
      <c r="C1390" s="667"/>
      <c r="D1390" s="29" t="s">
        <v>9</v>
      </c>
      <c r="E1390" s="28">
        <f t="shared" ref="E1390:H1390" si="968">E1391</f>
        <v>0</v>
      </c>
      <c r="F1390" s="28">
        <f t="shared" si="968"/>
        <v>0</v>
      </c>
      <c r="G1390" s="10">
        <f t="shared" si="968"/>
        <v>0</v>
      </c>
      <c r="H1390" s="10">
        <f t="shared" si="968"/>
        <v>0</v>
      </c>
      <c r="I1390" s="613"/>
      <c r="J1390" s="53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</row>
    <row r="1391" spans="1:108" s="2" customFormat="1" ht="15" customHeight="1">
      <c r="A1391" s="27"/>
      <c r="B1391" s="668" t="s">
        <v>8</v>
      </c>
      <c r="C1391" s="669"/>
      <c r="D1391" s="26" t="s">
        <v>7</v>
      </c>
      <c r="E1391" s="15">
        <v>0</v>
      </c>
      <c r="F1391" s="15">
        <v>0</v>
      </c>
      <c r="G1391" s="94">
        <v>0</v>
      </c>
      <c r="H1391" s="94">
        <v>0</v>
      </c>
      <c r="I1391" s="613"/>
      <c r="J1391" s="53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</row>
    <row r="1392" spans="1:108" s="2" customFormat="1" ht="15" customHeight="1">
      <c r="A1392" s="646" t="s">
        <v>23</v>
      </c>
      <c r="B1392" s="647"/>
      <c r="C1392" s="647"/>
      <c r="D1392" s="26">
        <v>70</v>
      </c>
      <c r="E1392" s="15">
        <f>E602</f>
        <v>4500000</v>
      </c>
      <c r="F1392" s="15">
        <f t="shared" ref="F1392:H1392" si="969">F602</f>
        <v>4500000</v>
      </c>
      <c r="G1392" s="94">
        <f t="shared" si="969"/>
        <v>0</v>
      </c>
      <c r="H1392" s="94">
        <f t="shared" si="969"/>
        <v>0</v>
      </c>
      <c r="I1392" s="613">
        <f t="shared" si="967"/>
        <v>0</v>
      </c>
      <c r="J1392" s="53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</row>
    <row r="1393" spans="1:108" s="2" customFormat="1" ht="15" customHeight="1">
      <c r="A1393" s="25"/>
      <c r="B1393" s="664" t="s">
        <v>6</v>
      </c>
      <c r="C1393" s="665"/>
      <c r="D1393" s="24" t="s">
        <v>5</v>
      </c>
      <c r="E1393" s="23">
        <f t="shared" ref="E1393:H1393" si="970">E1394</f>
        <v>802000</v>
      </c>
      <c r="F1393" s="23">
        <f t="shared" si="970"/>
        <v>802000</v>
      </c>
      <c r="G1393" s="101">
        <f t="shared" si="970"/>
        <v>0</v>
      </c>
      <c r="H1393" s="101">
        <f t="shared" si="970"/>
        <v>0</v>
      </c>
      <c r="I1393" s="613">
        <f t="shared" ref="I1393:I1398" si="971">H1393/F1393</f>
        <v>0</v>
      </c>
      <c r="J1393" s="53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</row>
    <row r="1394" spans="1:108" s="2" customFormat="1" ht="15" customHeight="1">
      <c r="A1394" s="588" t="s">
        <v>4</v>
      </c>
      <c r="B1394" s="22"/>
      <c r="C1394" s="12"/>
      <c r="D1394" s="21">
        <v>55</v>
      </c>
      <c r="E1394" s="15">
        <f>E608</f>
        <v>802000</v>
      </c>
      <c r="F1394" s="15">
        <f>F608</f>
        <v>802000</v>
      </c>
      <c r="G1394" s="94">
        <f>G608</f>
        <v>0</v>
      </c>
      <c r="H1394" s="94">
        <f>H608</f>
        <v>0</v>
      </c>
      <c r="I1394" s="613">
        <f t="shared" si="971"/>
        <v>0</v>
      </c>
      <c r="J1394" s="53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</row>
    <row r="1395" spans="1:108" s="2" customFormat="1" ht="15" hidden="1" customHeight="1">
      <c r="A1395" s="679"/>
      <c r="B1395" s="680"/>
      <c r="C1395" s="681"/>
      <c r="D1395" s="20"/>
      <c r="E1395" s="19"/>
      <c r="F1395" s="19"/>
      <c r="G1395" s="97"/>
      <c r="H1395" s="97"/>
      <c r="I1395" s="613" t="e">
        <f t="shared" si="971"/>
        <v>#DIV/0!</v>
      </c>
      <c r="J1395" s="53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</row>
    <row r="1396" spans="1:108" s="2" customFormat="1" ht="15.75" hidden="1" customHeight="1">
      <c r="A1396" s="685"/>
      <c r="B1396" s="686"/>
      <c r="C1396" s="687"/>
      <c r="D1396" s="18"/>
      <c r="E1396" s="17"/>
      <c r="F1396" s="17"/>
      <c r="G1396" s="99"/>
      <c r="H1396" s="99"/>
      <c r="I1396" s="613" t="e">
        <f t="shared" si="971"/>
        <v>#DIV/0!</v>
      </c>
      <c r="J1396" s="53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</row>
    <row r="1397" spans="1:108" s="2" customFormat="1" ht="15" hidden="1" customHeight="1">
      <c r="A1397" s="651"/>
      <c r="B1397" s="652"/>
      <c r="C1397" s="652"/>
      <c r="D1397" s="16"/>
      <c r="E1397" s="15"/>
      <c r="F1397" s="15"/>
      <c r="G1397" s="94"/>
      <c r="H1397" s="94"/>
      <c r="I1397" s="613" t="e">
        <f t="shared" si="971"/>
        <v>#DIV/0!</v>
      </c>
      <c r="J1397" s="53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</row>
    <row r="1398" spans="1:108" s="2" customFormat="1" ht="15" hidden="1" customHeight="1">
      <c r="A1398" s="587"/>
      <c r="B1398" s="688"/>
      <c r="C1398" s="688"/>
      <c r="D1398" s="16"/>
      <c r="E1398" s="15"/>
      <c r="F1398" s="15"/>
      <c r="G1398" s="94"/>
      <c r="H1398" s="94"/>
      <c r="I1398" s="613" t="e">
        <f t="shared" si="971"/>
        <v>#DIV/0!</v>
      </c>
      <c r="J1398" s="53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</row>
    <row r="1399" spans="1:108" s="2" customFormat="1" ht="15" customHeight="1">
      <c r="A1399" s="670" t="s">
        <v>3</v>
      </c>
      <c r="B1399" s="671"/>
      <c r="C1399" s="672"/>
      <c r="D1399" s="11" t="s">
        <v>2</v>
      </c>
      <c r="E1399" s="14">
        <f t="shared" ref="E1399" si="972">E1400-E1401</f>
        <v>-61017000</v>
      </c>
      <c r="F1399" s="14">
        <f t="shared" ref="F1399:H1399" si="973">F1400-F1401</f>
        <v>-56323000</v>
      </c>
      <c r="G1399" s="14">
        <f t="shared" si="973"/>
        <v>5730583.9499999955</v>
      </c>
      <c r="H1399" s="14">
        <f t="shared" si="973"/>
        <v>17726315.749999996</v>
      </c>
      <c r="I1399" s="613"/>
      <c r="J1399" s="53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</row>
    <row r="1400" spans="1:108" s="2" customFormat="1" ht="15" customHeight="1">
      <c r="A1400" s="13" t="s">
        <v>1</v>
      </c>
      <c r="B1400" s="12"/>
      <c r="C1400" s="12"/>
      <c r="D1400" s="11">
        <v>92.01</v>
      </c>
      <c r="E1400" s="10"/>
      <c r="F1400" s="10"/>
      <c r="G1400" s="10"/>
      <c r="H1400" s="10"/>
      <c r="I1400" s="613"/>
      <c r="J1400" s="53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</row>
    <row r="1401" spans="1:108" s="2" customFormat="1" ht="15" customHeight="1" thickBot="1">
      <c r="A1401" s="9" t="s">
        <v>0</v>
      </c>
      <c r="B1401" s="8"/>
      <c r="C1401" s="8"/>
      <c r="D1401" s="7">
        <v>93.01</v>
      </c>
      <c r="E1401" s="6">
        <f>E1161-E1014</f>
        <v>61017000</v>
      </c>
      <c r="F1401" s="6">
        <f>F1161-F1014</f>
        <v>56323000</v>
      </c>
      <c r="G1401" s="6">
        <f>G1161-G1014</f>
        <v>-5730583.9499999955</v>
      </c>
      <c r="H1401" s="6">
        <f>H1161-H1014</f>
        <v>-17726315.749999996</v>
      </c>
      <c r="I1401" s="628"/>
      <c r="J1401" s="53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</row>
    <row r="1402" spans="1:108" s="2" customFormat="1">
      <c r="A1402" s="657"/>
      <c r="B1402" s="657"/>
      <c r="C1402" s="657"/>
      <c r="D1402" s="657"/>
      <c r="E1402" s="657"/>
      <c r="F1402" s="657"/>
      <c r="G1402" s="657"/>
      <c r="H1402" s="657"/>
      <c r="I1402" s="657"/>
      <c r="J1402" s="53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</row>
    <row r="1403" spans="1:108" s="2" customFormat="1">
      <c r="A1403" s="593"/>
      <c r="B1403" s="622"/>
      <c r="C1403" s="622"/>
      <c r="D1403" s="623"/>
      <c r="E1403" s="596"/>
      <c r="F1403" s="596"/>
      <c r="G1403" s="596"/>
      <c r="H1403" s="596"/>
      <c r="I1403" s="596"/>
      <c r="J1403" s="53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</row>
    <row r="1404" spans="1:108" s="2" customFormat="1">
      <c r="A1404" s="593"/>
      <c r="B1404" s="622"/>
      <c r="C1404" s="622"/>
      <c r="D1404" s="623"/>
      <c r="E1404" s="596"/>
      <c r="F1404" s="596"/>
      <c r="G1404" s="596"/>
      <c r="H1404" s="596"/>
      <c r="I1404" s="596"/>
      <c r="J1404" s="53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</row>
    <row r="1405" spans="1:108" s="2" customFormat="1">
      <c r="A1405" s="593"/>
      <c r="B1405" s="622"/>
      <c r="C1405" s="622"/>
      <c r="D1405" s="624"/>
      <c r="E1405" s="596"/>
      <c r="F1405" s="596"/>
      <c r="G1405" s="596"/>
      <c r="H1405" s="596"/>
      <c r="I1405" s="596"/>
      <c r="J1405" s="53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</row>
    <row r="1406" spans="1:108" s="2" customFormat="1">
      <c r="A1406" s="593"/>
      <c r="B1406" s="622"/>
      <c r="C1406" s="622"/>
      <c r="D1406" s="622"/>
      <c r="E1406" s="596"/>
      <c r="F1406" s="596"/>
      <c r="G1406" s="596"/>
      <c r="H1406" s="596"/>
      <c r="I1406" s="596"/>
      <c r="J1406" s="53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</row>
    <row r="1407" spans="1:108" s="2" customFormat="1">
      <c r="A1407" s="593"/>
      <c r="B1407" s="622"/>
      <c r="C1407" s="622"/>
      <c r="D1407" s="592"/>
      <c r="E1407" s="596"/>
      <c r="F1407" s="596"/>
      <c r="G1407" s="596"/>
      <c r="H1407" s="596"/>
      <c r="I1407" s="596"/>
      <c r="J1407" s="53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</row>
    <row r="1408" spans="1:108" s="2" customFormat="1">
      <c r="A1408" s="634"/>
      <c r="B1408" s="635"/>
      <c r="C1408" s="635"/>
      <c r="D1408" s="635"/>
      <c r="E1408" s="635"/>
      <c r="F1408" s="635"/>
      <c r="G1408" s="635"/>
      <c r="H1408" s="635"/>
      <c r="I1408" s="635"/>
      <c r="J1408" s="53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</row>
    <row r="1409" spans="1:108" s="2" customFormat="1">
      <c r="A1409" s="634"/>
      <c r="B1409" s="635"/>
      <c r="C1409" s="635"/>
      <c r="D1409" s="635"/>
      <c r="E1409" s="635"/>
      <c r="F1409" s="635"/>
      <c r="G1409" s="635"/>
      <c r="H1409" s="635"/>
      <c r="I1409" s="635"/>
      <c r="J1409" s="53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</row>
    <row r="1410" spans="1:108" s="3" customFormat="1">
      <c r="A1410" s="593"/>
      <c r="B1410" s="625"/>
      <c r="C1410" s="625"/>
      <c r="D1410" s="626"/>
      <c r="E1410" s="596"/>
      <c r="F1410" s="596"/>
      <c r="G1410" s="596"/>
      <c r="H1410" s="596"/>
      <c r="I1410" s="596"/>
      <c r="J1410" s="531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</row>
    <row r="1411" spans="1:108" s="3" customFormat="1">
      <c r="A1411" s="593"/>
      <c r="B1411" s="593"/>
      <c r="C1411" s="593"/>
      <c r="D1411" s="626"/>
      <c r="E1411" s="596"/>
      <c r="F1411" s="596"/>
      <c r="G1411" s="596"/>
      <c r="H1411" s="596"/>
      <c r="I1411" s="596"/>
      <c r="J1411" s="531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</row>
    <row r="1412" spans="1:108" s="3" customFormat="1">
      <c r="A1412" s="593"/>
      <c r="B1412" s="593"/>
      <c r="C1412" s="593"/>
      <c r="D1412" s="626"/>
      <c r="E1412" s="596"/>
      <c r="F1412" s="596"/>
      <c r="G1412" s="596"/>
      <c r="H1412" s="596"/>
      <c r="I1412" s="596"/>
      <c r="J1412" s="531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</row>
    <row r="1413" spans="1:108" s="3" customFormat="1">
      <c r="A1413" s="1"/>
      <c r="B1413" s="1"/>
      <c r="C1413" s="1"/>
      <c r="D1413" s="5"/>
      <c r="J1413" s="531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</row>
    <row r="1414" spans="1:108" s="3" customFormat="1">
      <c r="A1414" s="1"/>
      <c r="B1414" s="1"/>
      <c r="C1414" s="1"/>
      <c r="D1414" s="5"/>
      <c r="J1414" s="531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</row>
    <row r="1415" spans="1:108" s="3" customFormat="1">
      <c r="A1415" s="1"/>
      <c r="B1415" s="1"/>
      <c r="C1415" s="1"/>
      <c r="D1415" s="5"/>
      <c r="J1415" s="531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</row>
    <row r="1416" spans="1:108" s="3" customFormat="1">
      <c r="A1416" s="1"/>
      <c r="B1416" s="1"/>
      <c r="C1416" s="1"/>
      <c r="D1416" s="5"/>
      <c r="J1416" s="531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</row>
    <row r="1417" spans="1:108" s="3" customFormat="1">
      <c r="A1417" s="1"/>
      <c r="B1417" s="1"/>
      <c r="C1417" s="1"/>
      <c r="D1417" s="5"/>
      <c r="J1417" s="531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</row>
    <row r="1418" spans="1:108" s="3" customFormat="1">
      <c r="A1418" s="1"/>
      <c r="B1418" s="1"/>
      <c r="C1418" s="1"/>
      <c r="D1418" s="5"/>
      <c r="J1418" s="531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</row>
    <row r="1419" spans="1:108" s="3" customFormat="1">
      <c r="A1419" s="1"/>
      <c r="B1419" s="1"/>
      <c r="C1419" s="1"/>
      <c r="D1419" s="5"/>
      <c r="J1419" s="531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</row>
    <row r="1420" spans="1:108" s="3" customFormat="1">
      <c r="A1420" s="1"/>
      <c r="B1420" s="1"/>
      <c r="C1420" s="1"/>
      <c r="D1420" s="5"/>
      <c r="J1420" s="531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</row>
    <row r="1421" spans="1:108" s="3" customFormat="1">
      <c r="A1421" s="1"/>
      <c r="B1421" s="1"/>
      <c r="C1421" s="1"/>
      <c r="D1421" s="5"/>
      <c r="J1421" s="531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</row>
    <row r="1422" spans="1:108" s="3" customFormat="1">
      <c r="A1422" s="1"/>
      <c r="B1422" s="1"/>
      <c r="C1422" s="1"/>
      <c r="D1422" s="5"/>
      <c r="J1422" s="531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</row>
    <row r="1423" spans="1:108" s="3" customFormat="1">
      <c r="A1423" s="1"/>
      <c r="B1423" s="1"/>
      <c r="C1423" s="1"/>
      <c r="D1423" s="5"/>
      <c r="J1423" s="531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</row>
    <row r="1424" spans="1:108" s="3" customFormat="1">
      <c r="A1424" s="1"/>
      <c r="B1424" s="1"/>
      <c r="C1424" s="1"/>
      <c r="D1424" s="5"/>
      <c r="J1424" s="531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</row>
    <row r="1425" spans="1:108" s="3" customFormat="1">
      <c r="A1425" s="1"/>
      <c r="B1425" s="1"/>
      <c r="C1425" s="1"/>
      <c r="D1425" s="5"/>
      <c r="J1425" s="531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</row>
    <row r="1426" spans="1:108" s="3" customFormat="1">
      <c r="A1426" s="1"/>
      <c r="B1426" s="1"/>
      <c r="C1426" s="1"/>
      <c r="D1426" s="5"/>
      <c r="J1426" s="531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</row>
    <row r="1427" spans="1:108" s="3" customFormat="1">
      <c r="A1427" s="1"/>
      <c r="B1427" s="1"/>
      <c r="C1427" s="1"/>
      <c r="D1427" s="5"/>
      <c r="J1427" s="531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</row>
    <row r="1428" spans="1:108" s="3" customFormat="1">
      <c r="A1428" s="1"/>
      <c r="B1428" s="1"/>
      <c r="C1428" s="1"/>
      <c r="D1428" s="5"/>
      <c r="J1428" s="531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</row>
    <row r="1429" spans="1:108" s="3" customFormat="1">
      <c r="A1429" s="1"/>
      <c r="B1429" s="1"/>
      <c r="C1429" s="1"/>
      <c r="D1429" s="5"/>
      <c r="J1429" s="531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</row>
    <row r="1430" spans="1:108" s="3" customFormat="1">
      <c r="A1430" s="1"/>
      <c r="B1430" s="1"/>
      <c r="C1430" s="1"/>
      <c r="D1430" s="5"/>
      <c r="J1430" s="531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</row>
    <row r="1431" spans="1:108" s="3" customFormat="1">
      <c r="A1431" s="1"/>
      <c r="B1431" s="1"/>
      <c r="C1431" s="1"/>
      <c r="D1431" s="5"/>
      <c r="J1431" s="531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</row>
    <row r="1432" spans="1:108" s="3" customFormat="1">
      <c r="A1432" s="1"/>
      <c r="B1432" s="1"/>
      <c r="C1432" s="1"/>
      <c r="D1432" s="5"/>
      <c r="J1432" s="531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</row>
    <row r="1433" spans="1:108" s="3" customFormat="1">
      <c r="A1433" s="1"/>
      <c r="B1433" s="1"/>
      <c r="C1433" s="1"/>
      <c r="D1433" s="5"/>
      <c r="J1433" s="531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</row>
    <row r="1434" spans="1:108" s="3" customFormat="1">
      <c r="A1434" s="1"/>
      <c r="B1434" s="1"/>
      <c r="C1434" s="1"/>
      <c r="D1434" s="5"/>
      <c r="J1434" s="531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</row>
    <row r="1435" spans="1:108" s="3" customFormat="1">
      <c r="A1435" s="1"/>
      <c r="B1435" s="1"/>
      <c r="C1435" s="1"/>
      <c r="D1435" s="5"/>
      <c r="J1435" s="531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</row>
    <row r="1436" spans="1:108" s="3" customFormat="1">
      <c r="A1436" s="1"/>
      <c r="B1436" s="1"/>
      <c r="C1436" s="1"/>
      <c r="D1436" s="5"/>
      <c r="J1436" s="531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</row>
    <row r="1437" spans="1:108" s="3" customFormat="1">
      <c r="A1437" s="1"/>
      <c r="B1437" s="1"/>
      <c r="C1437" s="1"/>
      <c r="D1437" s="5"/>
      <c r="J1437" s="531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</row>
    <row r="1438" spans="1:108" s="3" customFormat="1">
      <c r="A1438" s="1"/>
      <c r="B1438" s="1"/>
      <c r="C1438" s="1"/>
      <c r="D1438" s="5"/>
      <c r="J1438" s="531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</row>
    <row r="1439" spans="1:108" s="3" customFormat="1">
      <c r="A1439" s="1"/>
      <c r="B1439" s="1"/>
      <c r="C1439" s="1"/>
      <c r="D1439" s="5"/>
      <c r="J1439" s="531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</row>
    <row r="1440" spans="1:108" s="3" customFormat="1">
      <c r="A1440" s="1"/>
      <c r="B1440" s="1"/>
      <c r="C1440" s="1"/>
      <c r="D1440" s="5"/>
      <c r="J1440" s="531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</row>
    <row r="1441" spans="1:108" s="3" customFormat="1">
      <c r="A1441" s="1"/>
      <c r="B1441" s="1"/>
      <c r="C1441" s="1"/>
      <c r="D1441" s="5"/>
      <c r="J1441" s="531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</row>
    <row r="1442" spans="1:108" s="3" customFormat="1">
      <c r="A1442" s="1"/>
      <c r="B1442" s="1"/>
      <c r="C1442" s="1"/>
      <c r="D1442" s="5"/>
      <c r="J1442" s="531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</row>
    <row r="1443" spans="1:108" s="3" customFormat="1">
      <c r="A1443" s="1"/>
      <c r="B1443" s="1"/>
      <c r="C1443" s="1"/>
      <c r="D1443" s="5"/>
      <c r="J1443" s="531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</row>
    <row r="1444" spans="1:108" s="3" customFormat="1">
      <c r="A1444" s="1"/>
      <c r="B1444" s="1"/>
      <c r="C1444" s="1"/>
      <c r="D1444" s="5"/>
      <c r="J1444" s="531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</row>
    <row r="1445" spans="1:108" s="3" customFormat="1">
      <c r="A1445" s="1"/>
      <c r="B1445" s="1"/>
      <c r="C1445" s="1"/>
      <c r="D1445" s="5"/>
      <c r="J1445" s="531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</row>
    <row r="1446" spans="1:108" s="3" customFormat="1">
      <c r="A1446" s="1"/>
      <c r="B1446" s="1"/>
      <c r="C1446" s="1"/>
      <c r="D1446" s="5"/>
      <c r="J1446" s="531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</row>
    <row r="1447" spans="1:108" s="3" customFormat="1">
      <c r="A1447" s="1"/>
      <c r="B1447" s="1"/>
      <c r="C1447" s="1"/>
      <c r="D1447" s="5"/>
      <c r="J1447" s="531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</row>
    <row r="1448" spans="1:108" s="3" customFormat="1">
      <c r="A1448" s="1"/>
      <c r="B1448" s="1"/>
      <c r="C1448" s="1"/>
      <c r="D1448" s="5"/>
      <c r="J1448" s="531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</row>
    <row r="1449" spans="1:108" s="3" customFormat="1">
      <c r="A1449" s="1"/>
      <c r="B1449" s="1"/>
      <c r="C1449" s="1"/>
      <c r="D1449" s="5"/>
      <c r="J1449" s="531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</row>
    <row r="1450" spans="1:108" s="3" customFormat="1">
      <c r="A1450" s="1"/>
      <c r="B1450" s="1"/>
      <c r="C1450" s="1"/>
      <c r="D1450" s="5"/>
      <c r="J1450" s="531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</row>
    <row r="1451" spans="1:108" s="3" customFormat="1">
      <c r="A1451" s="1"/>
      <c r="B1451" s="1"/>
      <c r="C1451" s="1"/>
      <c r="D1451" s="5"/>
      <c r="J1451" s="531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</row>
    <row r="1452" spans="1:108" s="3" customFormat="1">
      <c r="A1452" s="1"/>
      <c r="B1452" s="1"/>
      <c r="C1452" s="1"/>
      <c r="D1452" s="5"/>
      <c r="J1452" s="531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</row>
    <row r="1453" spans="1:108" s="3" customFormat="1">
      <c r="A1453" s="1"/>
      <c r="B1453" s="1"/>
      <c r="C1453" s="1"/>
      <c r="D1453" s="5"/>
      <c r="J1453" s="531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</row>
    <row r="1454" spans="1:108" s="3" customFormat="1">
      <c r="A1454" s="1"/>
      <c r="B1454" s="1"/>
      <c r="C1454" s="1"/>
      <c r="D1454" s="5"/>
      <c r="J1454" s="531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</row>
    <row r="1455" spans="1:108" s="3" customFormat="1">
      <c r="A1455" s="1"/>
      <c r="B1455" s="1"/>
      <c r="C1455" s="1"/>
      <c r="D1455" s="5"/>
      <c r="J1455" s="531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</row>
    <row r="1456" spans="1:108" s="3" customFormat="1">
      <c r="A1456" s="1"/>
      <c r="B1456" s="1"/>
      <c r="C1456" s="1"/>
      <c r="D1456" s="5"/>
      <c r="J1456" s="531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</row>
    <row r="1457" spans="1:108" s="3" customFormat="1">
      <c r="A1457" s="1"/>
      <c r="B1457" s="1"/>
      <c r="C1457" s="1"/>
      <c r="D1457" s="5"/>
      <c r="J1457" s="531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</row>
    <row r="1458" spans="1:108" s="3" customFormat="1">
      <c r="A1458" s="1"/>
      <c r="B1458" s="1"/>
      <c r="C1458" s="1"/>
      <c r="D1458" s="5"/>
      <c r="J1458" s="531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</row>
    <row r="1459" spans="1:108" s="3" customFormat="1">
      <c r="A1459" s="1"/>
      <c r="B1459" s="1"/>
      <c r="C1459" s="1"/>
      <c r="D1459" s="5"/>
      <c r="J1459" s="531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</row>
    <row r="1460" spans="1:108" s="3" customFormat="1">
      <c r="A1460" s="1"/>
      <c r="B1460" s="1"/>
      <c r="C1460" s="1"/>
      <c r="D1460" s="5"/>
      <c r="J1460" s="531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</row>
    <row r="1461" spans="1:108" s="3" customFormat="1">
      <c r="A1461" s="1"/>
      <c r="B1461" s="1"/>
      <c r="C1461" s="1"/>
      <c r="D1461" s="5"/>
      <c r="J1461" s="531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</row>
    <row r="1462" spans="1:108" s="3" customFormat="1">
      <c r="A1462" s="1"/>
      <c r="B1462" s="1"/>
      <c r="C1462" s="1"/>
      <c r="D1462" s="5"/>
      <c r="J1462" s="531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</row>
    <row r="1463" spans="1:108" s="3" customFormat="1">
      <c r="A1463" s="1"/>
      <c r="B1463" s="1"/>
      <c r="C1463" s="1"/>
      <c r="D1463" s="5"/>
      <c r="J1463" s="531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</row>
    <row r="1464" spans="1:108" s="3" customFormat="1">
      <c r="A1464" s="1"/>
      <c r="B1464" s="1"/>
      <c r="C1464" s="1"/>
      <c r="D1464" s="5"/>
      <c r="J1464" s="531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</row>
    <row r="1465" spans="1:108" s="3" customFormat="1">
      <c r="A1465" s="1"/>
      <c r="B1465" s="1"/>
      <c r="C1465" s="1"/>
      <c r="D1465" s="5"/>
      <c r="J1465" s="531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</row>
    <row r="1466" spans="1:108" s="3" customFormat="1">
      <c r="A1466" s="1"/>
      <c r="B1466" s="1"/>
      <c r="C1466" s="1"/>
      <c r="D1466" s="5"/>
      <c r="J1466" s="531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</row>
    <row r="1467" spans="1:108" s="3" customFormat="1">
      <c r="A1467" s="1"/>
      <c r="B1467" s="1"/>
      <c r="C1467" s="1"/>
      <c r="D1467" s="5"/>
      <c r="J1467" s="531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</row>
    <row r="1468" spans="1:108" s="3" customFormat="1">
      <c r="A1468" s="1"/>
      <c r="B1468" s="1"/>
      <c r="C1468" s="1"/>
      <c r="D1468" s="5"/>
      <c r="J1468" s="531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</row>
    <row r="1469" spans="1:108" s="3" customFormat="1">
      <c r="A1469" s="1"/>
      <c r="B1469" s="1"/>
      <c r="C1469" s="1"/>
      <c r="D1469" s="5"/>
      <c r="J1469" s="531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</row>
    <row r="1470" spans="1:108" s="3" customFormat="1">
      <c r="A1470" s="1"/>
      <c r="B1470" s="1"/>
      <c r="C1470" s="1"/>
      <c r="D1470" s="5"/>
      <c r="J1470" s="531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</row>
    <row r="1471" spans="1:108" s="3" customFormat="1">
      <c r="A1471" s="1"/>
      <c r="B1471" s="1"/>
      <c r="C1471" s="1"/>
      <c r="D1471" s="5"/>
      <c r="J1471" s="531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</row>
    <row r="1472" spans="1:108" s="3" customFormat="1">
      <c r="A1472" s="1"/>
      <c r="B1472" s="1"/>
      <c r="C1472" s="1"/>
      <c r="D1472" s="5"/>
      <c r="J1472" s="531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</row>
    <row r="1473" spans="1:108" s="3" customFormat="1">
      <c r="A1473" s="1"/>
      <c r="B1473" s="1"/>
      <c r="C1473" s="1"/>
      <c r="D1473" s="5"/>
      <c r="J1473" s="531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</row>
    <row r="1474" spans="1:108" s="3" customFormat="1">
      <c r="A1474" s="1"/>
      <c r="B1474" s="1"/>
      <c r="C1474" s="1"/>
      <c r="D1474" s="5"/>
      <c r="J1474" s="531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</row>
    <row r="1475" spans="1:108" s="3" customFormat="1">
      <c r="A1475" s="1"/>
      <c r="B1475" s="1"/>
      <c r="C1475" s="1"/>
      <c r="D1475" s="5"/>
      <c r="J1475" s="531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</row>
    <row r="1476" spans="1:108" s="3" customFormat="1">
      <c r="A1476" s="1"/>
      <c r="B1476" s="1"/>
      <c r="C1476" s="1"/>
      <c r="D1476" s="5"/>
      <c r="J1476" s="531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</row>
    <row r="1477" spans="1:108" s="3" customFormat="1">
      <c r="A1477" s="1"/>
      <c r="B1477" s="1"/>
      <c r="C1477" s="1"/>
      <c r="D1477" s="5"/>
      <c r="J1477" s="531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</row>
    <row r="1478" spans="1:108" s="3" customFormat="1">
      <c r="A1478" s="1"/>
      <c r="B1478" s="1"/>
      <c r="C1478" s="1"/>
      <c r="D1478" s="5"/>
      <c r="J1478" s="531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</row>
    <row r="1479" spans="1:108" s="3" customFormat="1">
      <c r="A1479" s="1"/>
      <c r="B1479" s="1"/>
      <c r="C1479" s="1"/>
      <c r="D1479" s="5"/>
      <c r="J1479" s="531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</row>
    <row r="1480" spans="1:108" s="3" customFormat="1">
      <c r="A1480" s="1"/>
      <c r="B1480" s="1"/>
      <c r="C1480" s="1"/>
      <c r="D1480" s="5"/>
      <c r="J1480" s="531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</row>
    <row r="1481" spans="1:108" s="3" customFormat="1">
      <c r="A1481" s="1"/>
      <c r="B1481" s="1"/>
      <c r="C1481" s="1"/>
      <c r="D1481" s="5"/>
      <c r="J1481" s="531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</row>
    <row r="1482" spans="1:108" s="3" customFormat="1">
      <c r="A1482" s="1"/>
      <c r="B1482" s="1"/>
      <c r="C1482" s="1"/>
      <c r="D1482" s="5"/>
      <c r="J1482" s="531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</row>
    <row r="1483" spans="1:108" s="3" customFormat="1">
      <c r="A1483" s="1"/>
      <c r="B1483" s="1"/>
      <c r="C1483" s="1"/>
      <c r="D1483" s="5"/>
      <c r="J1483" s="531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</row>
    <row r="1484" spans="1:108" s="3" customFormat="1">
      <c r="A1484" s="1"/>
      <c r="B1484" s="1"/>
      <c r="C1484" s="1"/>
      <c r="D1484" s="5"/>
      <c r="J1484" s="531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</row>
    <row r="1485" spans="1:108" s="3" customFormat="1">
      <c r="A1485" s="1"/>
      <c r="B1485" s="1"/>
      <c r="C1485" s="1"/>
      <c r="D1485" s="5"/>
      <c r="J1485" s="531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</row>
    <row r="1486" spans="1:108" s="3" customFormat="1">
      <c r="A1486" s="1"/>
      <c r="B1486" s="1"/>
      <c r="C1486" s="1"/>
      <c r="D1486" s="5"/>
      <c r="J1486" s="531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</row>
    <row r="1487" spans="1:108" s="3" customFormat="1">
      <c r="A1487" s="1"/>
      <c r="B1487" s="1"/>
      <c r="C1487" s="1"/>
      <c r="D1487" s="5"/>
      <c r="J1487" s="531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</row>
    <row r="1488" spans="1:108" s="3" customFormat="1">
      <c r="A1488" s="1"/>
      <c r="B1488" s="1"/>
      <c r="C1488" s="1"/>
      <c r="D1488" s="5"/>
      <c r="J1488" s="531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</row>
    <row r="1489" spans="1:108" s="3" customFormat="1">
      <c r="A1489" s="1"/>
      <c r="B1489" s="1"/>
      <c r="C1489" s="1"/>
      <c r="D1489" s="5"/>
      <c r="J1489" s="531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</row>
    <row r="1490" spans="1:108" s="3" customFormat="1">
      <c r="A1490" s="1"/>
      <c r="B1490" s="1"/>
      <c r="C1490" s="1"/>
      <c r="D1490" s="5"/>
      <c r="J1490" s="531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</row>
    <row r="1491" spans="1:108" s="3" customFormat="1">
      <c r="A1491" s="1"/>
      <c r="B1491" s="1"/>
      <c r="C1491" s="1"/>
      <c r="D1491" s="5"/>
      <c r="J1491" s="531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</row>
    <row r="1492" spans="1:108" s="3" customFormat="1">
      <c r="A1492" s="1"/>
      <c r="B1492" s="1"/>
      <c r="C1492" s="1"/>
      <c r="D1492" s="5"/>
      <c r="J1492" s="531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</row>
    <row r="1493" spans="1:108" s="3" customFormat="1">
      <c r="A1493" s="1"/>
      <c r="B1493" s="1"/>
      <c r="C1493" s="1"/>
      <c r="D1493" s="5"/>
      <c r="J1493" s="531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</row>
    <row r="1494" spans="1:108" s="3" customFormat="1">
      <c r="A1494" s="1"/>
      <c r="B1494" s="1"/>
      <c r="C1494" s="1"/>
      <c r="D1494" s="5"/>
      <c r="J1494" s="531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</row>
    <row r="1495" spans="1:108" s="3" customFormat="1">
      <c r="A1495" s="1"/>
      <c r="B1495" s="1"/>
      <c r="C1495" s="1"/>
      <c r="D1495" s="5"/>
      <c r="J1495" s="531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</row>
    <row r="1496" spans="1:108" s="3" customFormat="1">
      <c r="A1496" s="1"/>
      <c r="B1496" s="1"/>
      <c r="C1496" s="1"/>
      <c r="D1496" s="5"/>
      <c r="J1496" s="531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</row>
    <row r="1497" spans="1:108" s="3" customFormat="1">
      <c r="A1497" s="1"/>
      <c r="B1497" s="1"/>
      <c r="C1497" s="1"/>
      <c r="D1497" s="5"/>
      <c r="J1497" s="531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</row>
    <row r="1498" spans="1:108" s="3" customFormat="1">
      <c r="A1498" s="1"/>
      <c r="B1498" s="1"/>
      <c r="C1498" s="1"/>
      <c r="D1498" s="5"/>
      <c r="J1498" s="531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</row>
    <row r="1499" spans="1:108" s="3" customFormat="1">
      <c r="A1499" s="1"/>
      <c r="B1499" s="1"/>
      <c r="C1499" s="1"/>
      <c r="D1499" s="5"/>
      <c r="J1499" s="531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</row>
    <row r="1500" spans="1:108" s="3" customFormat="1">
      <c r="A1500" s="1"/>
      <c r="B1500" s="1"/>
      <c r="C1500" s="1"/>
      <c r="D1500" s="5"/>
      <c r="J1500" s="531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</row>
    <row r="1501" spans="1:108" s="3" customFormat="1">
      <c r="A1501" s="1"/>
      <c r="B1501" s="1"/>
      <c r="C1501" s="1"/>
      <c r="D1501" s="5"/>
      <c r="J1501" s="531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</row>
    <row r="1502" spans="1:108" s="3" customFormat="1">
      <c r="A1502" s="1"/>
      <c r="B1502" s="1"/>
      <c r="C1502" s="1"/>
      <c r="D1502" s="5"/>
      <c r="J1502" s="531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</row>
    <row r="1503" spans="1:108" s="3" customFormat="1">
      <c r="A1503" s="1"/>
      <c r="B1503" s="1"/>
      <c r="C1503" s="1"/>
      <c r="D1503" s="5"/>
      <c r="J1503" s="531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</row>
    <row r="1504" spans="1:108" s="3" customFormat="1">
      <c r="A1504" s="1"/>
      <c r="B1504" s="1"/>
      <c r="C1504" s="1"/>
      <c r="D1504" s="5"/>
      <c r="J1504" s="531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</row>
    <row r="1505" spans="1:108" s="3" customFormat="1">
      <c r="A1505" s="1"/>
      <c r="B1505" s="1"/>
      <c r="C1505" s="1"/>
      <c r="D1505" s="5"/>
      <c r="J1505" s="531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</row>
    <row r="1506" spans="1:108" s="3" customFormat="1">
      <c r="A1506" s="1"/>
      <c r="B1506" s="1"/>
      <c r="C1506" s="1"/>
      <c r="D1506" s="5"/>
      <c r="J1506" s="531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</row>
    <row r="1507" spans="1:108" s="3" customFormat="1">
      <c r="A1507" s="1"/>
      <c r="B1507" s="1"/>
      <c r="C1507" s="1"/>
      <c r="D1507" s="5"/>
      <c r="J1507" s="531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</row>
    <row r="1508" spans="1:108" s="3" customFormat="1">
      <c r="A1508" s="1"/>
      <c r="B1508" s="1"/>
      <c r="C1508" s="1"/>
      <c r="D1508" s="5"/>
      <c r="J1508" s="531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</row>
    <row r="1509" spans="1:108" s="3" customFormat="1">
      <c r="A1509" s="1"/>
      <c r="B1509" s="1"/>
      <c r="C1509" s="1"/>
      <c r="D1509" s="5"/>
      <c r="J1509" s="531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</row>
    <row r="1510" spans="1:108" s="3" customFormat="1">
      <c r="A1510" s="1"/>
      <c r="B1510" s="1"/>
      <c r="C1510" s="1"/>
      <c r="D1510" s="5"/>
      <c r="J1510" s="531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</row>
    <row r="1511" spans="1:108" s="3" customFormat="1">
      <c r="A1511" s="1"/>
      <c r="B1511" s="1"/>
      <c r="C1511" s="1"/>
      <c r="D1511" s="5"/>
      <c r="J1511" s="531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</row>
    <row r="1512" spans="1:108" s="3" customFormat="1">
      <c r="A1512" s="1"/>
      <c r="B1512" s="1"/>
      <c r="C1512" s="1"/>
      <c r="D1512" s="5"/>
      <c r="J1512" s="531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</row>
    <row r="1513" spans="1:108" s="3" customFormat="1">
      <c r="A1513" s="1"/>
      <c r="B1513" s="1"/>
      <c r="C1513" s="1"/>
      <c r="D1513" s="5"/>
      <c r="J1513" s="531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</row>
    <row r="1514" spans="1:108" s="3" customFormat="1">
      <c r="A1514" s="1"/>
      <c r="B1514" s="1"/>
      <c r="C1514" s="1"/>
      <c r="D1514" s="5"/>
      <c r="J1514" s="531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</row>
    <row r="1515" spans="1:108" s="3" customFormat="1">
      <c r="A1515" s="1"/>
      <c r="B1515" s="1"/>
      <c r="C1515" s="1"/>
      <c r="D1515" s="5"/>
      <c r="J1515" s="531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</row>
    <row r="1516" spans="1:108" s="3" customFormat="1">
      <c r="A1516" s="1"/>
      <c r="B1516" s="1"/>
      <c r="C1516" s="1"/>
      <c r="D1516" s="5"/>
      <c r="J1516" s="531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</row>
    <row r="1517" spans="1:108" s="3" customFormat="1">
      <c r="A1517" s="1"/>
      <c r="B1517" s="1"/>
      <c r="C1517" s="1"/>
      <c r="D1517" s="5"/>
      <c r="J1517" s="531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</row>
    <row r="1518" spans="1:108" s="3" customFormat="1">
      <c r="A1518" s="1"/>
      <c r="B1518" s="1"/>
      <c r="C1518" s="1"/>
      <c r="D1518" s="5"/>
      <c r="J1518" s="531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</row>
    <row r="1519" spans="1:108" s="3" customFormat="1">
      <c r="A1519" s="1"/>
      <c r="B1519" s="1"/>
      <c r="C1519" s="1"/>
      <c r="D1519" s="5"/>
      <c r="J1519" s="531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</row>
    <row r="1520" spans="1:108" s="3" customFormat="1">
      <c r="A1520" s="1"/>
      <c r="B1520" s="1"/>
      <c r="C1520" s="1"/>
      <c r="D1520" s="5"/>
      <c r="J1520" s="531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</row>
    <row r="1521" spans="1:108" s="3" customFormat="1">
      <c r="A1521" s="1"/>
      <c r="B1521" s="1"/>
      <c r="C1521" s="1"/>
      <c r="D1521" s="5"/>
      <c r="J1521" s="531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</row>
    <row r="1522" spans="1:108" s="3" customFormat="1">
      <c r="A1522" s="1"/>
      <c r="B1522" s="1"/>
      <c r="C1522" s="1"/>
      <c r="D1522" s="5"/>
      <c r="J1522" s="531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</row>
    <row r="1523" spans="1:108" s="3" customFormat="1">
      <c r="A1523" s="1"/>
      <c r="B1523" s="1"/>
      <c r="C1523" s="1"/>
      <c r="D1523" s="5"/>
      <c r="J1523" s="531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</row>
    <row r="1524" spans="1:108" s="3" customFormat="1">
      <c r="A1524" s="1"/>
      <c r="B1524" s="1"/>
      <c r="C1524" s="1"/>
      <c r="D1524" s="5"/>
      <c r="J1524" s="531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</row>
    <row r="1525" spans="1:108" s="3" customFormat="1">
      <c r="A1525" s="1"/>
      <c r="B1525" s="1"/>
      <c r="C1525" s="1"/>
      <c r="D1525" s="5"/>
      <c r="J1525" s="531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</row>
    <row r="1526" spans="1:108" s="3" customFormat="1">
      <c r="A1526" s="1"/>
      <c r="B1526" s="1"/>
      <c r="C1526" s="1"/>
      <c r="D1526" s="5"/>
      <c r="J1526" s="531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</row>
    <row r="1527" spans="1:108" s="3" customFormat="1">
      <c r="A1527" s="1"/>
      <c r="B1527" s="1"/>
      <c r="C1527" s="1"/>
      <c r="D1527" s="5"/>
      <c r="J1527" s="531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</row>
    <row r="1528" spans="1:108" s="3" customFormat="1">
      <c r="A1528" s="1"/>
      <c r="B1528" s="1"/>
      <c r="C1528" s="1"/>
      <c r="D1528" s="5"/>
      <c r="J1528" s="531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</row>
    <row r="1529" spans="1:108" s="3" customFormat="1">
      <c r="A1529" s="1"/>
      <c r="B1529" s="1"/>
      <c r="C1529" s="1"/>
      <c r="D1529" s="5"/>
      <c r="J1529" s="531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</row>
    <row r="1530" spans="1:108" s="3" customFormat="1">
      <c r="A1530" s="1"/>
      <c r="B1530" s="1"/>
      <c r="C1530" s="1"/>
      <c r="D1530" s="5"/>
      <c r="J1530" s="531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</row>
    <row r="1531" spans="1:108" s="3" customFormat="1">
      <c r="A1531" s="1"/>
      <c r="B1531" s="1"/>
      <c r="C1531" s="1"/>
      <c r="D1531" s="5"/>
      <c r="J1531" s="531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</row>
    <row r="1532" spans="1:108" s="3" customFormat="1">
      <c r="A1532" s="1"/>
      <c r="B1532" s="1"/>
      <c r="C1532" s="1"/>
      <c r="D1532" s="5"/>
      <c r="J1532" s="531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</row>
    <row r="1533" spans="1:108" s="3" customFormat="1">
      <c r="A1533" s="1"/>
      <c r="B1533" s="1"/>
      <c r="C1533" s="1"/>
      <c r="D1533" s="5"/>
      <c r="J1533" s="531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</row>
    <row r="1534" spans="1:108" s="3" customFormat="1">
      <c r="A1534" s="1"/>
      <c r="B1534" s="1"/>
      <c r="C1534" s="1"/>
      <c r="D1534" s="5"/>
      <c r="J1534" s="531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</row>
    <row r="1535" spans="1:108" s="3" customFormat="1">
      <c r="A1535" s="1"/>
      <c r="B1535" s="1"/>
      <c r="C1535" s="1"/>
      <c r="D1535" s="5"/>
      <c r="J1535" s="531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</row>
    <row r="1536" spans="1:108" s="3" customFormat="1">
      <c r="A1536" s="1"/>
      <c r="B1536" s="1"/>
      <c r="C1536" s="1"/>
      <c r="D1536" s="5"/>
      <c r="J1536" s="531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</row>
    <row r="1537" spans="1:108" s="3" customFormat="1">
      <c r="A1537" s="1"/>
      <c r="B1537" s="1"/>
      <c r="C1537" s="1"/>
      <c r="D1537" s="5"/>
      <c r="J1537" s="531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</row>
    <row r="1538" spans="1:108" s="3" customFormat="1">
      <c r="A1538" s="1"/>
      <c r="B1538" s="1"/>
      <c r="C1538" s="1"/>
      <c r="D1538" s="5"/>
      <c r="J1538" s="531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</row>
    <row r="1539" spans="1:108" s="3" customFormat="1">
      <c r="A1539" s="1"/>
      <c r="B1539" s="1"/>
      <c r="C1539" s="1"/>
      <c r="D1539" s="5"/>
      <c r="J1539" s="531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</row>
    <row r="1540" spans="1:108" s="3" customFormat="1">
      <c r="A1540" s="1"/>
      <c r="B1540" s="1"/>
      <c r="C1540" s="1"/>
      <c r="D1540" s="5"/>
      <c r="J1540" s="531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</row>
    <row r="1541" spans="1:108" s="3" customFormat="1">
      <c r="A1541" s="1"/>
      <c r="B1541" s="1"/>
      <c r="C1541" s="1"/>
      <c r="D1541" s="5"/>
      <c r="J1541" s="531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</row>
    <row r="1542" spans="1:108" s="3" customFormat="1">
      <c r="A1542" s="1"/>
      <c r="B1542" s="1"/>
      <c r="C1542" s="1"/>
      <c r="D1542" s="5"/>
      <c r="J1542" s="531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</row>
    <row r="1543" spans="1:108" s="3" customFormat="1">
      <c r="A1543" s="1"/>
      <c r="B1543" s="1"/>
      <c r="C1543" s="1"/>
      <c r="D1543" s="5"/>
      <c r="J1543" s="531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</row>
    <row r="1544" spans="1:108" s="3" customFormat="1">
      <c r="A1544" s="1"/>
      <c r="B1544" s="1"/>
      <c r="C1544" s="1"/>
      <c r="D1544" s="5"/>
      <c r="J1544" s="531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</row>
    <row r="1545" spans="1:108" s="3" customFormat="1">
      <c r="A1545" s="1"/>
      <c r="B1545" s="1"/>
      <c r="C1545" s="1"/>
      <c r="D1545" s="5"/>
      <c r="J1545" s="531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</row>
    <row r="1546" spans="1:108" s="3" customFormat="1">
      <c r="A1546" s="1"/>
      <c r="B1546" s="1"/>
      <c r="C1546" s="1"/>
      <c r="D1546" s="5"/>
      <c r="J1546" s="531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</row>
    <row r="1547" spans="1:108" s="3" customFormat="1">
      <c r="A1547" s="1"/>
      <c r="B1547" s="1"/>
      <c r="C1547" s="1"/>
      <c r="D1547" s="5"/>
      <c r="J1547" s="531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</row>
    <row r="1548" spans="1:108" s="3" customFormat="1">
      <c r="A1548" s="1"/>
      <c r="B1548" s="1"/>
      <c r="C1548" s="1"/>
      <c r="D1548" s="5"/>
      <c r="J1548" s="531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</row>
    <row r="1549" spans="1:108" s="3" customFormat="1">
      <c r="A1549" s="1"/>
      <c r="B1549" s="1"/>
      <c r="C1549" s="1"/>
      <c r="D1549" s="5"/>
      <c r="J1549" s="531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</row>
    <row r="1550" spans="1:108" s="3" customFormat="1">
      <c r="A1550" s="1"/>
      <c r="B1550" s="1"/>
      <c r="C1550" s="1"/>
      <c r="D1550" s="5"/>
      <c r="J1550" s="531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</row>
    <row r="1551" spans="1:108" s="3" customFormat="1">
      <c r="A1551" s="1"/>
      <c r="B1551" s="1"/>
      <c r="C1551" s="1"/>
      <c r="D1551" s="5"/>
      <c r="J1551" s="531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</row>
    <row r="1552" spans="1:108" s="3" customFormat="1">
      <c r="A1552" s="1"/>
      <c r="B1552" s="1"/>
      <c r="C1552" s="1"/>
      <c r="D1552" s="5"/>
      <c r="J1552" s="531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</row>
    <row r="1553" spans="1:108" s="3" customFormat="1">
      <c r="A1553" s="1"/>
      <c r="B1553" s="1"/>
      <c r="C1553" s="1"/>
      <c r="D1553" s="5"/>
      <c r="J1553" s="531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</row>
    <row r="1554" spans="1:108" s="3" customFormat="1">
      <c r="A1554" s="1"/>
      <c r="B1554" s="1"/>
      <c r="C1554" s="1"/>
      <c r="D1554" s="5"/>
      <c r="J1554" s="531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</row>
    <row r="1555" spans="1:108" s="3" customFormat="1">
      <c r="A1555" s="1"/>
      <c r="B1555" s="1"/>
      <c r="C1555" s="1"/>
      <c r="D1555" s="5"/>
      <c r="J1555" s="531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</row>
    <row r="1556" spans="1:108" s="3" customFormat="1">
      <c r="A1556" s="1"/>
      <c r="B1556" s="1"/>
      <c r="C1556" s="1"/>
      <c r="D1556" s="5"/>
      <c r="J1556" s="531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</row>
    <row r="1557" spans="1:108" s="3" customFormat="1">
      <c r="A1557" s="1"/>
      <c r="B1557" s="1"/>
      <c r="C1557" s="1"/>
      <c r="D1557" s="5"/>
      <c r="J1557" s="531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</row>
    <row r="1558" spans="1:108" s="3" customFormat="1">
      <c r="A1558" s="1"/>
      <c r="B1558" s="1"/>
      <c r="C1558" s="1"/>
      <c r="D1558" s="5"/>
      <c r="J1558" s="531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</row>
    <row r="1559" spans="1:108" s="3" customFormat="1">
      <c r="A1559" s="1"/>
      <c r="B1559" s="1"/>
      <c r="C1559" s="1"/>
      <c r="D1559" s="5"/>
      <c r="J1559" s="531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</row>
    <row r="1560" spans="1:108" s="3" customFormat="1">
      <c r="A1560" s="1"/>
      <c r="B1560" s="1"/>
      <c r="C1560" s="1"/>
      <c r="D1560" s="5"/>
      <c r="J1560" s="531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</row>
    <row r="1561" spans="1:108" s="3" customFormat="1">
      <c r="A1561" s="1"/>
      <c r="B1561" s="1"/>
      <c r="C1561" s="1"/>
      <c r="D1561" s="5"/>
      <c r="J1561" s="531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</row>
    <row r="1562" spans="1:108" s="3" customFormat="1">
      <c r="A1562" s="1"/>
      <c r="B1562" s="1"/>
      <c r="C1562" s="1"/>
      <c r="D1562" s="5"/>
      <c r="J1562" s="531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</row>
    <row r="1563" spans="1:108" s="3" customFormat="1">
      <c r="A1563" s="1"/>
      <c r="B1563" s="1"/>
      <c r="C1563" s="1"/>
      <c r="D1563" s="5"/>
      <c r="J1563" s="531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</row>
    <row r="1564" spans="1:108" s="3" customFormat="1">
      <c r="A1564" s="1"/>
      <c r="B1564" s="1"/>
      <c r="C1564" s="1"/>
      <c r="D1564" s="5"/>
      <c r="J1564" s="531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</row>
    <row r="1565" spans="1:108" s="3" customFormat="1">
      <c r="A1565" s="1"/>
      <c r="B1565" s="1"/>
      <c r="C1565" s="1"/>
      <c r="D1565" s="5"/>
      <c r="J1565" s="531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</row>
    <row r="1566" spans="1:108" s="3" customFormat="1">
      <c r="A1566" s="1"/>
      <c r="B1566" s="1"/>
      <c r="C1566" s="1"/>
      <c r="D1566" s="5"/>
      <c r="J1566" s="531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</row>
    <row r="1567" spans="1:108" s="3" customFormat="1">
      <c r="A1567" s="1"/>
      <c r="B1567" s="1"/>
      <c r="C1567" s="1"/>
      <c r="D1567" s="5"/>
      <c r="J1567" s="531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</row>
    <row r="1568" spans="1:108" s="3" customFormat="1">
      <c r="A1568" s="1"/>
      <c r="B1568" s="1"/>
      <c r="C1568" s="1"/>
      <c r="D1568" s="5"/>
      <c r="J1568" s="531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</row>
    <row r="1569" spans="1:108" s="3" customFormat="1">
      <c r="A1569" s="1"/>
      <c r="B1569" s="1"/>
      <c r="C1569" s="1"/>
      <c r="D1569" s="5"/>
      <c r="J1569" s="531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</row>
    <row r="1570" spans="1:108" s="3" customFormat="1">
      <c r="A1570" s="1"/>
      <c r="B1570" s="1"/>
      <c r="C1570" s="1"/>
      <c r="D1570" s="5"/>
      <c r="J1570" s="531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</row>
    <row r="1571" spans="1:108" s="3" customFormat="1">
      <c r="A1571" s="1"/>
      <c r="B1571" s="1"/>
      <c r="C1571" s="1"/>
      <c r="D1571" s="5"/>
      <c r="J1571" s="531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</row>
    <row r="1572" spans="1:108" s="3" customFormat="1">
      <c r="A1572" s="1"/>
      <c r="B1572" s="1"/>
      <c r="C1572" s="1"/>
      <c r="D1572" s="5"/>
      <c r="J1572" s="531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</row>
    <row r="1573" spans="1:108" s="3" customFormat="1">
      <c r="A1573" s="1"/>
      <c r="B1573" s="1"/>
      <c r="C1573" s="1"/>
      <c r="D1573" s="5"/>
      <c r="J1573" s="531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</row>
    <row r="1574" spans="1:108" s="3" customFormat="1">
      <c r="A1574" s="1"/>
      <c r="B1574" s="1"/>
      <c r="C1574" s="1"/>
      <c r="D1574" s="5"/>
      <c r="J1574" s="531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</row>
    <row r="1575" spans="1:108" s="3" customFormat="1">
      <c r="A1575" s="1"/>
      <c r="B1575" s="1"/>
      <c r="C1575" s="1"/>
      <c r="D1575" s="5"/>
      <c r="J1575" s="531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</row>
    <row r="1576" spans="1:108" s="3" customFormat="1">
      <c r="A1576" s="1"/>
      <c r="B1576" s="1"/>
      <c r="C1576" s="1"/>
      <c r="D1576" s="5"/>
      <c r="J1576" s="531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</row>
    <row r="1577" spans="1:108" s="3" customFormat="1">
      <c r="A1577" s="1"/>
      <c r="B1577" s="1"/>
      <c r="C1577" s="1"/>
      <c r="D1577" s="5"/>
      <c r="J1577" s="531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</row>
    <row r="1578" spans="1:108" s="3" customFormat="1">
      <c r="A1578" s="1"/>
      <c r="B1578" s="1"/>
      <c r="C1578" s="1"/>
      <c r="D1578" s="5"/>
      <c r="J1578" s="531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</row>
    <row r="1579" spans="1:108" s="3" customFormat="1">
      <c r="A1579" s="1"/>
      <c r="B1579" s="1"/>
      <c r="C1579" s="1"/>
      <c r="D1579" s="5"/>
      <c r="J1579" s="531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</row>
    <row r="1580" spans="1:108" s="3" customFormat="1">
      <c r="A1580" s="1"/>
      <c r="B1580" s="1"/>
      <c r="C1580" s="1"/>
      <c r="D1580" s="5"/>
      <c r="J1580" s="531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</row>
    <row r="1581" spans="1:108" s="3" customFormat="1">
      <c r="A1581" s="1"/>
      <c r="B1581" s="1"/>
      <c r="C1581" s="1"/>
      <c r="D1581" s="5"/>
      <c r="J1581" s="531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</row>
    <row r="1582" spans="1:108" s="3" customFormat="1">
      <c r="A1582" s="1"/>
      <c r="B1582" s="1"/>
      <c r="C1582" s="1"/>
      <c r="D1582" s="5"/>
      <c r="J1582" s="531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</row>
    <row r="1583" spans="1:108" s="3" customFormat="1">
      <c r="A1583" s="1"/>
      <c r="B1583" s="1"/>
      <c r="C1583" s="1"/>
      <c r="D1583" s="5"/>
      <c r="J1583" s="531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</row>
    <row r="1584" spans="1:108" s="3" customFormat="1">
      <c r="A1584" s="1"/>
      <c r="B1584" s="1"/>
      <c r="C1584" s="1"/>
      <c r="D1584" s="5"/>
      <c r="J1584" s="531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</row>
    <row r="1585" spans="1:108" s="3" customFormat="1">
      <c r="A1585" s="1"/>
      <c r="B1585" s="1"/>
      <c r="C1585" s="1"/>
      <c r="D1585" s="5"/>
      <c r="J1585" s="531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</row>
    <row r="1586" spans="1:108" s="3" customFormat="1">
      <c r="A1586" s="1"/>
      <c r="B1586" s="1"/>
      <c r="C1586" s="1"/>
      <c r="D1586" s="5"/>
      <c r="J1586" s="531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</row>
    <row r="1587" spans="1:108" s="3" customFormat="1">
      <c r="A1587" s="1"/>
      <c r="B1587" s="1"/>
      <c r="C1587" s="1"/>
      <c r="D1587" s="5"/>
      <c r="J1587" s="531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</row>
    <row r="1588" spans="1:108" s="3" customFormat="1">
      <c r="A1588" s="1"/>
      <c r="B1588" s="1"/>
      <c r="C1588" s="1"/>
      <c r="D1588" s="5"/>
      <c r="J1588" s="531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</row>
    <row r="1589" spans="1:108" s="3" customFormat="1">
      <c r="A1589" s="1"/>
      <c r="B1589" s="1"/>
      <c r="C1589" s="1"/>
      <c r="D1589" s="5"/>
      <c r="J1589" s="531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</row>
    <row r="1590" spans="1:108" s="3" customFormat="1">
      <c r="A1590" s="1"/>
      <c r="B1590" s="1"/>
      <c r="C1590" s="1"/>
      <c r="D1590" s="5"/>
      <c r="J1590" s="531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</row>
    <row r="1591" spans="1:108" s="3" customFormat="1">
      <c r="A1591" s="1"/>
      <c r="B1591" s="1"/>
      <c r="C1591" s="1"/>
      <c r="D1591" s="5"/>
      <c r="J1591" s="531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</row>
    <row r="1592" spans="1:108" s="3" customFormat="1">
      <c r="A1592" s="1"/>
      <c r="B1592" s="1"/>
      <c r="C1592" s="1"/>
      <c r="D1592" s="5"/>
      <c r="J1592" s="531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</row>
    <row r="1593" spans="1:108" s="3" customFormat="1">
      <c r="A1593" s="1"/>
      <c r="B1593" s="1"/>
      <c r="C1593" s="1"/>
      <c r="D1593" s="5"/>
      <c r="J1593" s="531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</row>
    <row r="1594" spans="1:108" s="3" customFormat="1">
      <c r="A1594" s="1"/>
      <c r="B1594" s="1"/>
      <c r="C1594" s="1"/>
      <c r="D1594" s="5"/>
      <c r="J1594" s="531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</row>
    <row r="1595" spans="1:108" s="3" customFormat="1">
      <c r="A1595" s="1"/>
      <c r="B1595" s="1"/>
      <c r="C1595" s="1"/>
      <c r="D1595" s="5"/>
      <c r="J1595" s="531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</row>
    <row r="1596" spans="1:108" s="3" customFormat="1">
      <c r="A1596" s="1"/>
      <c r="B1596" s="1"/>
      <c r="C1596" s="1"/>
      <c r="D1596" s="5"/>
      <c r="J1596" s="531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</row>
    <row r="1597" spans="1:108" s="3" customFormat="1">
      <c r="A1597" s="1"/>
      <c r="B1597" s="1"/>
      <c r="C1597" s="1"/>
      <c r="D1597" s="5"/>
      <c r="J1597" s="531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</row>
    <row r="1598" spans="1:108" s="3" customFormat="1">
      <c r="A1598" s="1"/>
      <c r="B1598" s="1"/>
      <c r="C1598" s="1"/>
      <c r="D1598" s="5"/>
      <c r="J1598" s="531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</row>
    <row r="1599" spans="1:108" s="3" customFormat="1">
      <c r="A1599" s="1"/>
      <c r="B1599" s="1"/>
      <c r="C1599" s="1"/>
      <c r="D1599" s="5"/>
      <c r="J1599" s="531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</row>
    <row r="1600" spans="1:108" s="3" customFormat="1">
      <c r="A1600" s="1"/>
      <c r="B1600" s="1"/>
      <c r="C1600" s="1"/>
      <c r="D1600" s="5"/>
      <c r="J1600" s="531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</row>
    <row r="1601" spans="1:108" s="3" customFormat="1">
      <c r="A1601" s="1"/>
      <c r="B1601" s="1"/>
      <c r="C1601" s="1"/>
      <c r="D1601" s="5"/>
      <c r="J1601" s="531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</row>
    <row r="1602" spans="1:108" s="3" customFormat="1">
      <c r="A1602" s="1"/>
      <c r="B1602" s="1"/>
      <c r="C1602" s="1"/>
      <c r="D1602" s="5"/>
      <c r="J1602" s="531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</row>
    <row r="1603" spans="1:108" s="3" customFormat="1">
      <c r="A1603" s="1"/>
      <c r="B1603" s="1"/>
      <c r="C1603" s="1"/>
      <c r="D1603" s="5"/>
      <c r="J1603" s="531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</row>
    <row r="1604" spans="1:108" s="3" customFormat="1">
      <c r="A1604" s="1"/>
      <c r="B1604" s="1"/>
      <c r="C1604" s="1"/>
      <c r="D1604" s="5"/>
      <c r="J1604" s="531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</row>
    <row r="1605" spans="1:108" s="3" customFormat="1">
      <c r="A1605" s="1"/>
      <c r="B1605" s="1"/>
      <c r="C1605" s="1"/>
      <c r="D1605" s="5"/>
      <c r="J1605" s="531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</row>
    <row r="1606" spans="1:108" s="3" customFormat="1">
      <c r="A1606" s="1"/>
      <c r="B1606" s="1"/>
      <c r="C1606" s="1"/>
      <c r="D1606" s="5"/>
      <c r="J1606" s="531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</row>
    <row r="1607" spans="1:108" s="3" customFormat="1">
      <c r="A1607" s="1"/>
      <c r="B1607" s="1"/>
      <c r="C1607" s="1"/>
      <c r="D1607" s="5"/>
      <c r="J1607" s="531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</row>
    <row r="1608" spans="1:108" s="3" customFormat="1">
      <c r="A1608" s="1"/>
      <c r="B1608" s="1"/>
      <c r="C1608" s="1"/>
      <c r="D1608" s="5"/>
      <c r="J1608" s="531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</row>
    <row r="1609" spans="1:108" s="3" customFormat="1">
      <c r="A1609" s="1"/>
      <c r="B1609" s="1"/>
      <c r="C1609" s="1"/>
      <c r="D1609" s="5"/>
      <c r="J1609" s="531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</row>
    <row r="1610" spans="1:108" s="3" customFormat="1">
      <c r="A1610" s="1"/>
      <c r="B1610" s="1"/>
      <c r="C1610" s="1"/>
      <c r="D1610" s="5"/>
      <c r="J1610" s="531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</row>
    <row r="1611" spans="1:108" s="3" customFormat="1">
      <c r="A1611" s="1"/>
      <c r="B1611" s="1"/>
      <c r="C1611" s="1"/>
      <c r="D1611" s="5"/>
      <c r="J1611" s="531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</row>
    <row r="1612" spans="1:108" s="3" customFormat="1">
      <c r="A1612" s="1"/>
      <c r="B1612" s="1"/>
      <c r="C1612" s="1"/>
      <c r="D1612" s="5"/>
      <c r="J1612" s="531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</row>
    <row r="1613" spans="1:108" s="3" customFormat="1">
      <c r="A1613" s="1"/>
      <c r="B1613" s="1"/>
      <c r="C1613" s="1"/>
      <c r="D1613" s="5"/>
      <c r="J1613" s="531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</row>
    <row r="1614" spans="1:108" s="3" customFormat="1">
      <c r="A1614" s="1"/>
      <c r="B1614" s="1"/>
      <c r="C1614" s="1"/>
      <c r="D1614" s="5"/>
      <c r="J1614" s="531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</row>
    <row r="1615" spans="1:108" s="3" customFormat="1">
      <c r="A1615" s="1"/>
      <c r="B1615" s="1"/>
      <c r="C1615" s="1"/>
      <c r="D1615" s="5"/>
      <c r="J1615" s="531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</row>
    <row r="1616" spans="1:108" s="3" customFormat="1">
      <c r="A1616" s="1"/>
      <c r="B1616" s="1"/>
      <c r="C1616" s="1"/>
      <c r="D1616" s="5"/>
      <c r="J1616" s="531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</row>
    <row r="1617" spans="1:108" s="3" customFormat="1">
      <c r="A1617" s="1"/>
      <c r="B1617" s="1"/>
      <c r="C1617" s="1"/>
      <c r="D1617" s="5"/>
      <c r="J1617" s="531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</row>
    <row r="1618" spans="1:108" s="3" customFormat="1">
      <c r="A1618" s="1"/>
      <c r="B1618" s="1"/>
      <c r="C1618" s="1"/>
      <c r="D1618" s="5"/>
      <c r="J1618" s="531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</row>
    <row r="1619" spans="1:108" s="3" customFormat="1">
      <c r="A1619" s="1"/>
      <c r="B1619" s="1"/>
      <c r="C1619" s="1"/>
      <c r="D1619" s="5"/>
      <c r="J1619" s="531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</row>
    <row r="1620" spans="1:108" s="3" customFormat="1">
      <c r="A1620" s="1"/>
      <c r="B1620" s="1"/>
      <c r="C1620" s="1"/>
      <c r="D1620" s="5"/>
      <c r="J1620" s="531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</row>
    <row r="1621" spans="1:108" s="3" customFormat="1">
      <c r="A1621" s="1"/>
      <c r="B1621" s="1"/>
      <c r="C1621" s="1"/>
      <c r="D1621" s="5"/>
      <c r="J1621" s="531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</row>
    <row r="1622" spans="1:108" s="3" customFormat="1">
      <c r="A1622" s="1"/>
      <c r="B1622" s="1"/>
      <c r="C1622" s="1"/>
      <c r="D1622" s="5"/>
      <c r="J1622" s="531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</row>
    <row r="1623" spans="1:108" s="3" customFormat="1">
      <c r="A1623" s="1"/>
      <c r="B1623" s="1"/>
      <c r="C1623" s="1"/>
      <c r="D1623" s="5"/>
      <c r="J1623" s="531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</row>
    <row r="1624" spans="1:108" s="3" customFormat="1">
      <c r="A1624" s="1"/>
      <c r="B1624" s="1"/>
      <c r="C1624" s="1"/>
      <c r="D1624" s="5"/>
      <c r="J1624" s="531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</row>
    <row r="1625" spans="1:108" s="3" customFormat="1">
      <c r="A1625" s="1"/>
      <c r="B1625" s="1"/>
      <c r="C1625" s="1"/>
      <c r="D1625" s="5"/>
      <c r="J1625" s="531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</row>
    <row r="1626" spans="1:108" s="3" customFormat="1">
      <c r="A1626" s="1"/>
      <c r="B1626" s="1"/>
      <c r="C1626" s="1"/>
      <c r="D1626" s="5"/>
      <c r="J1626" s="531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</row>
    <row r="1627" spans="1:108" s="3" customFormat="1">
      <c r="A1627" s="1"/>
      <c r="B1627" s="1"/>
      <c r="C1627" s="1"/>
      <c r="D1627" s="5"/>
      <c r="J1627" s="531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</row>
    <row r="1628" spans="1:108" s="3" customFormat="1">
      <c r="A1628" s="1"/>
      <c r="B1628" s="1"/>
      <c r="C1628" s="1"/>
      <c r="D1628" s="5"/>
      <c r="J1628" s="531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</row>
    <row r="1629" spans="1:108" s="3" customFormat="1">
      <c r="A1629" s="1"/>
      <c r="B1629" s="1"/>
      <c r="C1629" s="1"/>
      <c r="D1629" s="5"/>
      <c r="J1629" s="531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</row>
    <row r="1630" spans="1:108" s="3" customFormat="1">
      <c r="A1630" s="1"/>
      <c r="B1630" s="1"/>
      <c r="C1630" s="1"/>
      <c r="D1630" s="5"/>
      <c r="J1630" s="531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</row>
    <row r="1631" spans="1:108" s="3" customFormat="1">
      <c r="A1631" s="1"/>
      <c r="B1631" s="1"/>
      <c r="C1631" s="1"/>
      <c r="D1631" s="5"/>
      <c r="J1631" s="531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</row>
    <row r="1632" spans="1:108" s="3" customFormat="1">
      <c r="A1632" s="1"/>
      <c r="B1632" s="1"/>
      <c r="C1632" s="1"/>
      <c r="D1632" s="5"/>
      <c r="J1632" s="531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1"/>
      <c r="DD1632" s="1"/>
    </row>
    <row r="1633" spans="1:108" s="3" customFormat="1">
      <c r="A1633" s="1"/>
      <c r="B1633" s="1"/>
      <c r="C1633" s="1"/>
      <c r="D1633" s="5"/>
      <c r="J1633" s="531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1"/>
      <c r="DD1633" s="1"/>
    </row>
    <row r="1634" spans="1:108" s="3" customFormat="1">
      <c r="A1634" s="1"/>
      <c r="B1634" s="1"/>
      <c r="C1634" s="1"/>
      <c r="D1634" s="5"/>
      <c r="J1634" s="531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</row>
    <row r="1635" spans="1:108" s="3" customFormat="1">
      <c r="A1635" s="1"/>
      <c r="B1635" s="1"/>
      <c r="C1635" s="1"/>
      <c r="D1635" s="5"/>
      <c r="J1635" s="531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</row>
    <row r="1636" spans="1:108" s="3" customFormat="1">
      <c r="A1636" s="1"/>
      <c r="B1636" s="1"/>
      <c r="C1636" s="1"/>
      <c r="D1636" s="5"/>
      <c r="J1636" s="531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</row>
    <row r="1637" spans="1:108" s="3" customFormat="1">
      <c r="A1637" s="1"/>
      <c r="B1637" s="1"/>
      <c r="C1637" s="1"/>
      <c r="D1637" s="5"/>
      <c r="J1637" s="531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1"/>
      <c r="DD1637" s="1"/>
    </row>
    <row r="1638" spans="1:108" s="3" customFormat="1">
      <c r="A1638" s="1"/>
      <c r="B1638" s="1"/>
      <c r="C1638" s="1"/>
      <c r="D1638" s="5"/>
      <c r="J1638" s="531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1"/>
      <c r="DD1638" s="1"/>
    </row>
    <row r="1639" spans="1:108" s="3" customFormat="1">
      <c r="A1639" s="1"/>
      <c r="B1639" s="1"/>
      <c r="C1639" s="1"/>
      <c r="D1639" s="5"/>
      <c r="J1639" s="531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</row>
    <row r="1640" spans="1:108" s="3" customFormat="1">
      <c r="A1640" s="1"/>
      <c r="B1640" s="1"/>
      <c r="C1640" s="1"/>
      <c r="D1640" s="5"/>
      <c r="J1640" s="531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1"/>
      <c r="DD1640" s="1"/>
    </row>
    <row r="1641" spans="1:108" s="3" customFormat="1">
      <c r="A1641" s="1"/>
      <c r="B1641" s="1"/>
      <c r="C1641" s="1"/>
      <c r="D1641" s="5"/>
      <c r="J1641" s="531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</row>
    <row r="1642" spans="1:108" s="3" customFormat="1">
      <c r="A1642" s="1"/>
      <c r="B1642" s="1"/>
      <c r="C1642" s="1"/>
      <c r="D1642" s="5"/>
      <c r="J1642" s="531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</row>
    <row r="1643" spans="1:108" s="3" customFormat="1">
      <c r="A1643" s="1"/>
      <c r="B1643" s="1"/>
      <c r="C1643" s="1"/>
      <c r="D1643" s="5"/>
      <c r="J1643" s="531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1"/>
      <c r="DD1643" s="1"/>
    </row>
    <row r="1644" spans="1:108" s="3" customFormat="1">
      <c r="A1644" s="1"/>
      <c r="B1644" s="1"/>
      <c r="C1644" s="1"/>
      <c r="D1644" s="5"/>
      <c r="J1644" s="531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</row>
    <row r="1645" spans="1:108" s="3" customFormat="1">
      <c r="A1645" s="1"/>
      <c r="B1645" s="1"/>
      <c r="C1645" s="1"/>
      <c r="D1645" s="5"/>
      <c r="J1645" s="531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1"/>
      <c r="DD1645" s="1"/>
    </row>
    <row r="1646" spans="1:108" s="3" customFormat="1">
      <c r="A1646" s="1"/>
      <c r="B1646" s="1"/>
      <c r="C1646" s="1"/>
      <c r="D1646" s="5"/>
      <c r="J1646" s="531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1"/>
      <c r="DD1646" s="1"/>
    </row>
    <row r="1647" spans="1:108" s="3" customFormat="1">
      <c r="A1647" s="1"/>
      <c r="B1647" s="1"/>
      <c r="C1647" s="1"/>
      <c r="D1647" s="5"/>
      <c r="J1647" s="531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1"/>
      <c r="DD1647" s="1"/>
    </row>
    <row r="1648" spans="1:108" s="3" customFormat="1">
      <c r="A1648" s="1"/>
      <c r="B1648" s="1"/>
      <c r="C1648" s="1"/>
      <c r="D1648" s="5"/>
      <c r="J1648" s="531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1"/>
      <c r="DD1648" s="1"/>
    </row>
    <row r="1649" spans="1:108" s="3" customFormat="1">
      <c r="A1649" s="1"/>
      <c r="B1649" s="1"/>
      <c r="C1649" s="1"/>
      <c r="D1649" s="5"/>
      <c r="J1649" s="531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1"/>
      <c r="DD1649" s="1"/>
    </row>
    <row r="1650" spans="1:108" s="3" customFormat="1">
      <c r="A1650" s="1"/>
      <c r="B1650" s="1"/>
      <c r="C1650" s="1"/>
      <c r="D1650" s="5"/>
      <c r="J1650" s="531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1"/>
      <c r="DD1650" s="1"/>
    </row>
    <row r="1651" spans="1:108" s="3" customFormat="1">
      <c r="A1651" s="1"/>
      <c r="B1651" s="1"/>
      <c r="C1651" s="1"/>
      <c r="D1651" s="5"/>
      <c r="J1651" s="531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1"/>
      <c r="DD1651" s="1"/>
    </row>
    <row r="1652" spans="1:108" s="3" customFormat="1">
      <c r="A1652" s="1"/>
      <c r="B1652" s="1"/>
      <c r="C1652" s="1"/>
      <c r="D1652" s="5"/>
      <c r="J1652" s="531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1"/>
      <c r="DD1652" s="1"/>
    </row>
    <row r="1653" spans="1:108" s="3" customFormat="1">
      <c r="A1653" s="1"/>
      <c r="B1653" s="1"/>
      <c r="C1653" s="1"/>
      <c r="D1653" s="5"/>
      <c r="J1653" s="531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1"/>
      <c r="DD1653" s="1"/>
    </row>
    <row r="1654" spans="1:108" s="3" customFormat="1">
      <c r="A1654" s="1"/>
      <c r="B1654" s="1"/>
      <c r="C1654" s="1"/>
      <c r="D1654" s="5"/>
      <c r="J1654" s="531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1"/>
      <c r="DD1654" s="1"/>
    </row>
    <row r="1655" spans="1:108" s="3" customFormat="1">
      <c r="A1655" s="1"/>
      <c r="B1655" s="1"/>
      <c r="C1655" s="1"/>
      <c r="D1655" s="5"/>
      <c r="J1655" s="531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1"/>
      <c r="DD1655" s="1"/>
    </row>
    <row r="1656" spans="1:108" s="3" customFormat="1">
      <c r="A1656" s="1"/>
      <c r="B1656" s="1"/>
      <c r="C1656" s="1"/>
      <c r="D1656" s="5"/>
      <c r="J1656" s="531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1"/>
      <c r="DD1656" s="1"/>
    </row>
    <row r="1657" spans="1:108" s="3" customFormat="1">
      <c r="A1657" s="1"/>
      <c r="B1657" s="1"/>
      <c r="C1657" s="1"/>
      <c r="D1657" s="5"/>
      <c r="J1657" s="531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1"/>
      <c r="DD1657" s="1"/>
    </row>
    <row r="1658" spans="1:108" s="3" customFormat="1">
      <c r="A1658" s="1"/>
      <c r="B1658" s="1"/>
      <c r="C1658" s="1"/>
      <c r="D1658" s="5"/>
      <c r="J1658" s="531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</row>
    <row r="1659" spans="1:108" s="3" customFormat="1">
      <c r="A1659" s="1"/>
      <c r="B1659" s="1"/>
      <c r="C1659" s="1"/>
      <c r="D1659" s="5"/>
      <c r="J1659" s="531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1"/>
      <c r="DD1659" s="1"/>
    </row>
    <row r="1660" spans="1:108" s="3" customFormat="1">
      <c r="A1660" s="1"/>
      <c r="B1660" s="1"/>
      <c r="C1660" s="1"/>
      <c r="D1660" s="5"/>
      <c r="J1660" s="531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1"/>
      <c r="DD1660" s="1"/>
    </row>
    <row r="1661" spans="1:108" s="3" customFormat="1">
      <c r="A1661" s="1"/>
      <c r="B1661" s="1"/>
      <c r="C1661" s="1"/>
      <c r="D1661" s="5"/>
      <c r="J1661" s="531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</row>
    <row r="1662" spans="1:108" s="3" customFormat="1">
      <c r="A1662" s="1"/>
      <c r="B1662" s="1"/>
      <c r="C1662" s="1"/>
      <c r="D1662" s="5"/>
      <c r="J1662" s="531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1"/>
      <c r="DD1662" s="1"/>
    </row>
    <row r="1663" spans="1:108" s="3" customFormat="1">
      <c r="A1663" s="1"/>
      <c r="B1663" s="1"/>
      <c r="C1663" s="1"/>
      <c r="D1663" s="5"/>
      <c r="J1663" s="531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1"/>
      <c r="DD1663" s="1"/>
    </row>
    <row r="1664" spans="1:108" s="3" customFormat="1">
      <c r="A1664" s="1"/>
      <c r="B1664" s="1"/>
      <c r="C1664" s="1"/>
      <c r="D1664" s="5"/>
      <c r="J1664" s="531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1"/>
      <c r="DD1664" s="1"/>
    </row>
    <row r="1665" spans="1:108" s="3" customFormat="1">
      <c r="A1665" s="1"/>
      <c r="B1665" s="1"/>
      <c r="C1665" s="1"/>
      <c r="D1665" s="5"/>
      <c r="J1665" s="531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1"/>
      <c r="DD1665" s="1"/>
    </row>
    <row r="1666" spans="1:108" s="3" customFormat="1">
      <c r="A1666" s="1"/>
      <c r="B1666" s="1"/>
      <c r="C1666" s="1"/>
      <c r="D1666" s="5"/>
      <c r="J1666" s="531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1"/>
      <c r="DD1666" s="1"/>
    </row>
    <row r="1667" spans="1:108" s="3" customFormat="1">
      <c r="A1667" s="1"/>
      <c r="B1667" s="1"/>
      <c r="C1667" s="1"/>
      <c r="D1667" s="5"/>
      <c r="J1667" s="531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1"/>
      <c r="DD1667" s="1"/>
    </row>
    <row r="1668" spans="1:108" s="3" customFormat="1">
      <c r="A1668" s="1"/>
      <c r="B1668" s="1"/>
      <c r="C1668" s="1"/>
      <c r="D1668" s="5"/>
      <c r="J1668" s="531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1"/>
      <c r="DD1668" s="1"/>
    </row>
    <row r="1669" spans="1:108" s="3" customFormat="1">
      <c r="A1669" s="1"/>
      <c r="B1669" s="1"/>
      <c r="C1669" s="1"/>
      <c r="D1669" s="5"/>
      <c r="J1669" s="531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1"/>
      <c r="DD1669" s="1"/>
    </row>
    <row r="1670" spans="1:108" s="3" customFormat="1">
      <c r="A1670" s="1"/>
      <c r="B1670" s="1"/>
      <c r="C1670" s="1"/>
      <c r="D1670" s="5"/>
      <c r="J1670" s="531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1"/>
      <c r="DD1670" s="1"/>
    </row>
    <row r="1671" spans="1:108" s="3" customFormat="1">
      <c r="A1671" s="1"/>
      <c r="B1671" s="1"/>
      <c r="C1671" s="1"/>
      <c r="D1671" s="5"/>
      <c r="J1671" s="531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1"/>
      <c r="DD1671" s="1"/>
    </row>
    <row r="1672" spans="1:108" s="3" customFormat="1">
      <c r="A1672" s="1"/>
      <c r="B1672" s="1"/>
      <c r="C1672" s="1"/>
      <c r="D1672" s="5"/>
      <c r="J1672" s="531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1"/>
      <c r="DD1672" s="1"/>
    </row>
    <row r="1673" spans="1:108" s="3" customFormat="1">
      <c r="A1673" s="1"/>
      <c r="B1673" s="1"/>
      <c r="C1673" s="1"/>
      <c r="D1673" s="5"/>
      <c r="J1673" s="531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1"/>
      <c r="DD1673" s="1"/>
    </row>
    <row r="1674" spans="1:108" s="3" customFormat="1">
      <c r="A1674" s="1"/>
      <c r="B1674" s="1"/>
      <c r="C1674" s="1"/>
      <c r="D1674" s="5"/>
      <c r="J1674" s="531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1"/>
      <c r="DD1674" s="1"/>
    </row>
    <row r="1675" spans="1:108" s="3" customFormat="1">
      <c r="A1675" s="1"/>
      <c r="B1675" s="1"/>
      <c r="C1675" s="1"/>
      <c r="D1675" s="5"/>
      <c r="J1675" s="531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</row>
    <row r="1676" spans="1:108" s="3" customFormat="1">
      <c r="A1676" s="1"/>
      <c r="B1676" s="1"/>
      <c r="C1676" s="1"/>
      <c r="D1676" s="5"/>
      <c r="J1676" s="531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1"/>
      <c r="DD1676" s="1"/>
    </row>
    <row r="1677" spans="1:108" s="3" customFormat="1">
      <c r="A1677" s="1"/>
      <c r="B1677" s="1"/>
      <c r="C1677" s="1"/>
      <c r="D1677" s="5"/>
      <c r="J1677" s="531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1"/>
      <c r="DD1677" s="1"/>
    </row>
    <row r="1678" spans="1:108" s="3" customFormat="1">
      <c r="A1678" s="1"/>
      <c r="B1678" s="1"/>
      <c r="C1678" s="1"/>
      <c r="D1678" s="5"/>
      <c r="J1678" s="531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1"/>
      <c r="DD1678" s="1"/>
    </row>
    <row r="1679" spans="1:108" s="3" customFormat="1">
      <c r="A1679" s="1"/>
      <c r="B1679" s="1"/>
      <c r="C1679" s="1"/>
      <c r="D1679" s="5"/>
      <c r="J1679" s="531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</row>
    <row r="1680" spans="1:108" s="3" customFormat="1">
      <c r="A1680" s="1"/>
      <c r="B1680" s="1"/>
      <c r="C1680" s="1"/>
      <c r="D1680" s="5"/>
      <c r="J1680" s="531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</row>
    <row r="1681" spans="1:108" s="3" customFormat="1">
      <c r="A1681" s="1"/>
      <c r="B1681" s="1"/>
      <c r="C1681" s="1"/>
      <c r="D1681" s="5"/>
      <c r="J1681" s="531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</row>
    <row r="1682" spans="1:108" s="3" customFormat="1">
      <c r="A1682" s="1"/>
      <c r="B1682" s="1"/>
      <c r="C1682" s="1"/>
      <c r="D1682" s="5"/>
      <c r="J1682" s="531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1"/>
      <c r="DD1682" s="1"/>
    </row>
    <row r="1683" spans="1:108" s="3" customFormat="1">
      <c r="A1683" s="1"/>
      <c r="B1683" s="1"/>
      <c r="C1683" s="1"/>
      <c r="D1683" s="5"/>
      <c r="J1683" s="531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1"/>
      <c r="DD1683" s="1"/>
    </row>
    <row r="1684" spans="1:108" s="3" customFormat="1">
      <c r="A1684" s="1"/>
      <c r="B1684" s="1"/>
      <c r="C1684" s="1"/>
      <c r="D1684" s="5"/>
      <c r="J1684" s="531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1"/>
      <c r="DD1684" s="1"/>
    </row>
    <row r="1685" spans="1:108" s="3" customFormat="1">
      <c r="A1685" s="1"/>
      <c r="B1685" s="1"/>
      <c r="C1685" s="1"/>
      <c r="D1685" s="5"/>
      <c r="J1685" s="531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1"/>
      <c r="DD1685" s="1"/>
    </row>
    <row r="1686" spans="1:108" s="3" customFormat="1">
      <c r="A1686" s="1"/>
      <c r="B1686" s="1"/>
      <c r="C1686" s="1"/>
      <c r="D1686" s="5"/>
      <c r="J1686" s="531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</row>
    <row r="1687" spans="1:108" s="3" customFormat="1">
      <c r="A1687" s="1"/>
      <c r="B1687" s="1"/>
      <c r="C1687" s="1"/>
      <c r="D1687" s="5"/>
      <c r="J1687" s="531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</row>
    <row r="1688" spans="1:108" s="3" customFormat="1">
      <c r="A1688" s="1"/>
      <c r="B1688" s="1"/>
      <c r="C1688" s="1"/>
      <c r="D1688" s="5"/>
      <c r="J1688" s="531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1"/>
      <c r="DD1688" s="1"/>
    </row>
    <row r="1689" spans="1:108" s="3" customFormat="1">
      <c r="A1689" s="1"/>
      <c r="B1689" s="1"/>
      <c r="C1689" s="1"/>
      <c r="D1689" s="5"/>
      <c r="J1689" s="531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1"/>
      <c r="DD1689" s="1"/>
    </row>
    <row r="1690" spans="1:108" s="3" customFormat="1">
      <c r="A1690" s="1"/>
      <c r="B1690" s="1"/>
      <c r="C1690" s="1"/>
      <c r="D1690" s="5"/>
      <c r="J1690" s="531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</row>
    <row r="1691" spans="1:108" s="3" customFormat="1">
      <c r="A1691" s="1"/>
      <c r="B1691" s="1"/>
      <c r="C1691" s="1"/>
      <c r="D1691" s="5"/>
      <c r="J1691" s="531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1"/>
      <c r="DD1691" s="1"/>
    </row>
    <row r="1692" spans="1:108" s="3" customFormat="1">
      <c r="A1692" s="1"/>
      <c r="B1692" s="1"/>
      <c r="C1692" s="1"/>
      <c r="D1692" s="5"/>
      <c r="J1692" s="531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1"/>
      <c r="DD1692" s="1"/>
    </row>
    <row r="1693" spans="1:108" s="3" customFormat="1">
      <c r="A1693" s="1"/>
      <c r="B1693" s="1"/>
      <c r="C1693" s="1"/>
      <c r="D1693" s="5"/>
      <c r="J1693" s="531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</row>
    <row r="1694" spans="1:108" s="3" customFormat="1">
      <c r="A1694" s="1"/>
      <c r="B1694" s="1"/>
      <c r="C1694" s="1"/>
      <c r="D1694" s="5"/>
      <c r="J1694" s="531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</row>
    <row r="1695" spans="1:108" s="3" customFormat="1">
      <c r="A1695" s="1"/>
      <c r="B1695" s="1"/>
      <c r="C1695" s="1"/>
      <c r="D1695" s="5"/>
      <c r="J1695" s="531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1"/>
      <c r="DD1695" s="1"/>
    </row>
    <row r="1696" spans="1:108" s="3" customFormat="1">
      <c r="A1696" s="1"/>
      <c r="B1696" s="1"/>
      <c r="C1696" s="1"/>
      <c r="D1696" s="5"/>
      <c r="J1696" s="531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1"/>
      <c r="DD1696" s="1"/>
    </row>
    <row r="1697" spans="1:108" s="3" customFormat="1">
      <c r="A1697" s="1"/>
      <c r="B1697" s="1"/>
      <c r="C1697" s="1"/>
      <c r="D1697" s="5"/>
      <c r="J1697" s="531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1"/>
      <c r="DD1697" s="1"/>
    </row>
    <row r="1698" spans="1:108" s="3" customFormat="1">
      <c r="A1698" s="1"/>
      <c r="B1698" s="1"/>
      <c r="C1698" s="1"/>
      <c r="D1698" s="5"/>
      <c r="J1698" s="531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</row>
    <row r="1699" spans="1:108" s="3" customFormat="1">
      <c r="A1699" s="1"/>
      <c r="B1699" s="1"/>
      <c r="C1699" s="1"/>
      <c r="D1699" s="5"/>
      <c r="J1699" s="531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</row>
    <row r="1700" spans="1:108" s="3" customFormat="1">
      <c r="A1700" s="1"/>
      <c r="B1700" s="1"/>
      <c r="C1700" s="1"/>
      <c r="D1700" s="5"/>
      <c r="J1700" s="531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</row>
    <row r="1701" spans="1:108" s="3" customFormat="1">
      <c r="A1701" s="1"/>
      <c r="B1701" s="1"/>
      <c r="C1701" s="1"/>
      <c r="D1701" s="5"/>
      <c r="J1701" s="531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</row>
    <row r="1702" spans="1:108" s="3" customFormat="1">
      <c r="A1702" s="1"/>
      <c r="B1702" s="1"/>
      <c r="C1702" s="1"/>
      <c r="D1702" s="5"/>
      <c r="J1702" s="531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1"/>
      <c r="DD1702" s="1"/>
    </row>
    <row r="1703" spans="1:108" s="3" customFormat="1">
      <c r="A1703" s="1"/>
      <c r="B1703" s="1"/>
      <c r="C1703" s="1"/>
      <c r="D1703" s="5"/>
      <c r="J1703" s="531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1"/>
      <c r="DD1703" s="1"/>
    </row>
    <row r="1704" spans="1:108" s="3" customFormat="1">
      <c r="A1704" s="1"/>
      <c r="B1704" s="1"/>
      <c r="C1704" s="1"/>
      <c r="D1704" s="5"/>
      <c r="J1704" s="531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1"/>
      <c r="DD1704" s="1"/>
    </row>
    <row r="1705" spans="1:108" s="3" customFormat="1">
      <c r="A1705" s="1"/>
      <c r="B1705" s="1"/>
      <c r="C1705" s="1"/>
      <c r="D1705" s="5"/>
      <c r="J1705" s="531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1"/>
      <c r="DD1705" s="1"/>
    </row>
    <row r="1706" spans="1:108" s="3" customFormat="1">
      <c r="A1706" s="1"/>
      <c r="B1706" s="1"/>
      <c r="C1706" s="1"/>
      <c r="D1706" s="5"/>
      <c r="J1706" s="531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1"/>
      <c r="DD1706" s="1"/>
    </row>
    <row r="1707" spans="1:108" s="3" customFormat="1">
      <c r="A1707" s="1"/>
      <c r="B1707" s="1"/>
      <c r="C1707" s="1"/>
      <c r="D1707" s="5"/>
      <c r="J1707" s="531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1"/>
      <c r="DD1707" s="1"/>
    </row>
    <row r="1708" spans="1:108" s="3" customFormat="1">
      <c r="A1708" s="1"/>
      <c r="B1708" s="1"/>
      <c r="C1708" s="1"/>
      <c r="D1708" s="5"/>
      <c r="J1708" s="531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</row>
    <row r="1709" spans="1:108" s="3" customFormat="1">
      <c r="A1709" s="1"/>
      <c r="B1709" s="1"/>
      <c r="C1709" s="1"/>
      <c r="D1709" s="5"/>
      <c r="J1709" s="531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1"/>
      <c r="DD1709" s="1"/>
    </row>
    <row r="1710" spans="1:108" s="3" customFormat="1">
      <c r="A1710" s="1"/>
      <c r="B1710" s="1"/>
      <c r="C1710" s="1"/>
      <c r="D1710" s="5"/>
      <c r="J1710" s="531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1"/>
      <c r="DD1710" s="1"/>
    </row>
    <row r="1711" spans="1:108" s="3" customFormat="1">
      <c r="A1711" s="1"/>
      <c r="B1711" s="1"/>
      <c r="C1711" s="1"/>
      <c r="D1711" s="5"/>
      <c r="J1711" s="531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1"/>
      <c r="DD1711" s="1"/>
    </row>
    <row r="1712" spans="1:108" s="3" customFormat="1">
      <c r="A1712" s="1"/>
      <c r="B1712" s="1"/>
      <c r="C1712" s="1"/>
      <c r="D1712" s="5"/>
      <c r="J1712" s="531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1"/>
      <c r="DD1712" s="1"/>
    </row>
    <row r="1713" spans="1:108" s="3" customFormat="1">
      <c r="A1713" s="1"/>
      <c r="B1713" s="1"/>
      <c r="C1713" s="1"/>
      <c r="D1713" s="5"/>
      <c r="J1713" s="531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1"/>
      <c r="DD1713" s="1"/>
    </row>
    <row r="1714" spans="1:108" s="3" customFormat="1">
      <c r="A1714" s="1"/>
      <c r="B1714" s="1"/>
      <c r="C1714" s="1"/>
      <c r="D1714" s="5"/>
      <c r="J1714" s="531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1"/>
      <c r="DD1714" s="1"/>
    </row>
    <row r="1715" spans="1:108" s="3" customFormat="1">
      <c r="A1715" s="1"/>
      <c r="B1715" s="1"/>
      <c r="C1715" s="1"/>
      <c r="D1715" s="5"/>
      <c r="J1715" s="531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1"/>
      <c r="DD1715" s="1"/>
    </row>
    <row r="1716" spans="1:108" s="3" customFormat="1">
      <c r="A1716" s="1"/>
      <c r="B1716" s="1"/>
      <c r="C1716" s="1"/>
      <c r="D1716" s="5"/>
      <c r="J1716" s="531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1"/>
      <c r="DD1716" s="1"/>
    </row>
    <row r="1717" spans="1:108" s="3" customFormat="1">
      <c r="A1717" s="1"/>
      <c r="B1717" s="1"/>
      <c r="C1717" s="1"/>
      <c r="D1717" s="5"/>
      <c r="J1717" s="531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1"/>
      <c r="DD1717" s="1"/>
    </row>
    <row r="1718" spans="1:108" s="3" customFormat="1">
      <c r="A1718" s="1"/>
      <c r="B1718" s="1"/>
      <c r="C1718" s="1"/>
      <c r="D1718" s="5"/>
      <c r="J1718" s="531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1"/>
      <c r="DD1718" s="1"/>
    </row>
    <row r="1719" spans="1:108" s="3" customFormat="1">
      <c r="A1719" s="1"/>
      <c r="B1719" s="1"/>
      <c r="C1719" s="1"/>
      <c r="D1719" s="5"/>
      <c r="J1719" s="531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1"/>
      <c r="DD1719" s="1"/>
    </row>
    <row r="1720" spans="1:108" s="3" customFormat="1">
      <c r="A1720" s="1"/>
      <c r="B1720" s="1"/>
      <c r="C1720" s="1"/>
      <c r="D1720" s="5"/>
      <c r="J1720" s="531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</row>
    <row r="1721" spans="1:108" s="3" customFormat="1">
      <c r="A1721" s="1"/>
      <c r="B1721" s="1"/>
      <c r="C1721" s="1"/>
      <c r="D1721" s="5"/>
      <c r="J1721" s="531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1"/>
      <c r="DD1721" s="1"/>
    </row>
    <row r="1722" spans="1:108" s="3" customFormat="1">
      <c r="A1722" s="1"/>
      <c r="B1722" s="1"/>
      <c r="C1722" s="1"/>
      <c r="D1722" s="5"/>
      <c r="J1722" s="531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1"/>
      <c r="DD1722" s="1"/>
    </row>
    <row r="1723" spans="1:108" s="3" customFormat="1">
      <c r="A1723" s="1"/>
      <c r="B1723" s="1"/>
      <c r="C1723" s="1"/>
      <c r="D1723" s="5"/>
      <c r="J1723" s="531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1"/>
      <c r="DD1723" s="1"/>
    </row>
    <row r="1724" spans="1:108" s="3" customFormat="1">
      <c r="A1724" s="1"/>
      <c r="B1724" s="1"/>
      <c r="C1724" s="1"/>
      <c r="D1724" s="5"/>
      <c r="J1724" s="531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1"/>
      <c r="DD1724" s="1"/>
    </row>
    <row r="1725" spans="1:108" s="3" customFormat="1">
      <c r="A1725" s="1"/>
      <c r="B1725" s="1"/>
      <c r="C1725" s="1"/>
      <c r="D1725" s="5"/>
      <c r="J1725" s="531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1"/>
      <c r="DD1725" s="1"/>
    </row>
    <row r="1726" spans="1:108" s="3" customFormat="1">
      <c r="A1726" s="1"/>
      <c r="B1726" s="1"/>
      <c r="C1726" s="1"/>
      <c r="D1726" s="5"/>
      <c r="J1726" s="531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1"/>
      <c r="DD1726" s="1"/>
    </row>
    <row r="1727" spans="1:108" s="3" customFormat="1">
      <c r="A1727" s="1"/>
      <c r="B1727" s="1"/>
      <c r="C1727" s="1"/>
      <c r="D1727" s="5"/>
      <c r="J1727" s="531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1"/>
      <c r="DD1727" s="1"/>
    </row>
    <row r="1728" spans="1:108" s="3" customFormat="1">
      <c r="A1728" s="1"/>
      <c r="B1728" s="1"/>
      <c r="C1728" s="1"/>
      <c r="D1728" s="5"/>
      <c r="J1728" s="531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1"/>
      <c r="DD1728" s="1"/>
    </row>
    <row r="1729" spans="1:108" s="3" customFormat="1">
      <c r="A1729" s="1"/>
      <c r="B1729" s="1"/>
      <c r="C1729" s="1"/>
      <c r="D1729" s="5"/>
      <c r="J1729" s="531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1"/>
      <c r="DD1729" s="1"/>
    </row>
    <row r="1730" spans="1:108" s="3" customFormat="1">
      <c r="A1730" s="1"/>
      <c r="B1730" s="1"/>
      <c r="C1730" s="1"/>
      <c r="D1730" s="5"/>
      <c r="J1730" s="531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1"/>
      <c r="DD1730" s="1"/>
    </row>
    <row r="1731" spans="1:108" s="3" customFormat="1">
      <c r="A1731" s="1"/>
      <c r="B1731" s="1"/>
      <c r="C1731" s="1"/>
      <c r="D1731" s="5"/>
      <c r="J1731" s="531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1"/>
      <c r="DD1731" s="1"/>
    </row>
    <row r="1732" spans="1:108" s="3" customFormat="1">
      <c r="A1732" s="1"/>
      <c r="B1732" s="1"/>
      <c r="C1732" s="1"/>
      <c r="D1732" s="5"/>
      <c r="J1732" s="531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</row>
    <row r="1733" spans="1:108" s="3" customFormat="1">
      <c r="A1733" s="1"/>
      <c r="B1733" s="1"/>
      <c r="C1733" s="1"/>
      <c r="D1733" s="5"/>
      <c r="J1733" s="531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1"/>
      <c r="DD1733" s="1"/>
    </row>
    <row r="1734" spans="1:108" s="3" customFormat="1">
      <c r="A1734" s="1"/>
      <c r="B1734" s="1"/>
      <c r="C1734" s="1"/>
      <c r="D1734" s="5"/>
      <c r="J1734" s="531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1"/>
      <c r="DD1734" s="1"/>
    </row>
    <row r="1735" spans="1:108" s="3" customFormat="1">
      <c r="A1735" s="1"/>
      <c r="B1735" s="1"/>
      <c r="C1735" s="1"/>
      <c r="D1735" s="5"/>
      <c r="J1735" s="531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</row>
    <row r="1736" spans="1:108" s="3" customFormat="1">
      <c r="A1736" s="1"/>
      <c r="B1736" s="1"/>
      <c r="C1736" s="1"/>
      <c r="D1736" s="5"/>
      <c r="J1736" s="531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</row>
    <row r="1737" spans="1:108" s="3" customFormat="1">
      <c r="A1737" s="1"/>
      <c r="B1737" s="1"/>
      <c r="C1737" s="1"/>
      <c r="D1737" s="5"/>
      <c r="J1737" s="531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1"/>
      <c r="DD1737" s="1"/>
    </row>
    <row r="1738" spans="1:108" s="3" customFormat="1">
      <c r="A1738" s="1"/>
      <c r="B1738" s="1"/>
      <c r="C1738" s="1"/>
      <c r="D1738" s="5"/>
      <c r="J1738" s="531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1"/>
      <c r="DD1738" s="1"/>
    </row>
    <row r="1739" spans="1:108" s="3" customFormat="1">
      <c r="A1739" s="1"/>
      <c r="B1739" s="1"/>
      <c r="C1739" s="1"/>
      <c r="D1739" s="5"/>
      <c r="J1739" s="531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1"/>
      <c r="DD1739" s="1"/>
    </row>
    <row r="1740" spans="1:108" s="3" customFormat="1">
      <c r="A1740" s="1"/>
      <c r="B1740" s="1"/>
      <c r="C1740" s="1"/>
      <c r="D1740" s="5"/>
      <c r="J1740" s="531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</row>
    <row r="1741" spans="1:108" s="3" customFormat="1">
      <c r="A1741" s="1"/>
      <c r="B1741" s="1"/>
      <c r="C1741" s="1"/>
      <c r="D1741" s="5"/>
      <c r="J1741" s="531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1"/>
      <c r="DD1741" s="1"/>
    </row>
    <row r="1742" spans="1:108" s="3" customFormat="1">
      <c r="A1742" s="1"/>
      <c r="B1742" s="1"/>
      <c r="C1742" s="1"/>
      <c r="D1742" s="5"/>
      <c r="J1742" s="531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1"/>
      <c r="DD1742" s="1"/>
    </row>
    <row r="1743" spans="1:108" s="3" customFormat="1">
      <c r="A1743" s="1"/>
      <c r="B1743" s="1"/>
      <c r="C1743" s="1"/>
      <c r="D1743" s="5"/>
      <c r="J1743" s="531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1"/>
      <c r="DD1743" s="1"/>
    </row>
    <row r="1744" spans="1:108" s="3" customFormat="1">
      <c r="A1744" s="1"/>
      <c r="B1744" s="1"/>
      <c r="C1744" s="1"/>
      <c r="D1744" s="5"/>
      <c r="J1744" s="531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1"/>
      <c r="DD1744" s="1"/>
    </row>
    <row r="1745" spans="1:108" s="3" customFormat="1">
      <c r="A1745" s="1"/>
      <c r="B1745" s="1"/>
      <c r="C1745" s="1"/>
      <c r="D1745" s="5"/>
      <c r="J1745" s="531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</row>
    <row r="1746" spans="1:108" s="3" customFormat="1">
      <c r="A1746" s="1"/>
      <c r="B1746" s="1"/>
      <c r="C1746" s="1"/>
      <c r="D1746" s="5"/>
      <c r="J1746" s="531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1"/>
      <c r="DD1746" s="1"/>
    </row>
    <row r="1747" spans="1:108" s="3" customFormat="1">
      <c r="A1747" s="1"/>
      <c r="B1747" s="1"/>
      <c r="C1747" s="1"/>
      <c r="D1747" s="5"/>
      <c r="J1747" s="531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1"/>
      <c r="DD1747" s="1"/>
    </row>
    <row r="1748" spans="1:108" s="3" customFormat="1">
      <c r="A1748" s="1"/>
      <c r="B1748" s="1"/>
      <c r="C1748" s="1"/>
      <c r="D1748" s="5"/>
      <c r="J1748" s="531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1"/>
      <c r="DD1748" s="1"/>
    </row>
    <row r="1749" spans="1:108" s="3" customFormat="1">
      <c r="A1749" s="1"/>
      <c r="B1749" s="1"/>
      <c r="C1749" s="1"/>
      <c r="D1749" s="5"/>
      <c r="J1749" s="531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1"/>
      <c r="DD1749" s="1"/>
    </row>
    <row r="1750" spans="1:108" s="3" customFormat="1">
      <c r="A1750" s="1"/>
      <c r="B1750" s="1"/>
      <c r="C1750" s="1"/>
      <c r="D1750" s="5"/>
      <c r="J1750" s="531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</row>
    <row r="1751" spans="1:108" s="3" customFormat="1">
      <c r="A1751" s="1"/>
      <c r="B1751" s="1"/>
      <c r="C1751" s="1"/>
      <c r="D1751" s="5"/>
      <c r="J1751" s="531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1"/>
      <c r="DD1751" s="1"/>
    </row>
    <row r="1752" spans="1:108" s="3" customFormat="1">
      <c r="A1752" s="1"/>
      <c r="B1752" s="1"/>
      <c r="C1752" s="1"/>
      <c r="D1752" s="5"/>
      <c r="J1752" s="531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</row>
    <row r="1753" spans="1:108" s="3" customFormat="1">
      <c r="A1753" s="1"/>
      <c r="B1753" s="1"/>
      <c r="C1753" s="1"/>
      <c r="D1753" s="5"/>
      <c r="J1753" s="531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1"/>
      <c r="DD1753" s="1"/>
    </row>
    <row r="1754" spans="1:108" s="3" customFormat="1">
      <c r="A1754" s="1"/>
      <c r="B1754" s="1"/>
      <c r="C1754" s="1"/>
      <c r="D1754" s="5"/>
      <c r="J1754" s="531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</row>
    <row r="1755" spans="1:108" s="3" customFormat="1">
      <c r="A1755" s="1"/>
      <c r="B1755" s="1"/>
      <c r="C1755" s="1"/>
      <c r="D1755" s="5"/>
      <c r="J1755" s="531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</row>
    <row r="1756" spans="1:108" s="3" customFormat="1">
      <c r="A1756" s="1"/>
      <c r="B1756" s="1"/>
      <c r="C1756" s="1"/>
      <c r="D1756" s="5"/>
      <c r="J1756" s="531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1"/>
      <c r="DD1756" s="1"/>
    </row>
    <row r="1757" spans="1:108" s="3" customFormat="1">
      <c r="A1757" s="1"/>
      <c r="B1757" s="1"/>
      <c r="C1757" s="1"/>
      <c r="D1757" s="5"/>
      <c r="J1757" s="531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1"/>
      <c r="DD1757" s="1"/>
    </row>
    <row r="1758" spans="1:108" s="3" customFormat="1">
      <c r="A1758" s="1"/>
      <c r="B1758" s="1"/>
      <c r="C1758" s="1"/>
      <c r="D1758" s="5"/>
      <c r="J1758" s="531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1"/>
      <c r="DD1758" s="1"/>
    </row>
    <row r="1759" spans="1:108" s="3" customFormat="1">
      <c r="A1759" s="1"/>
      <c r="B1759" s="1"/>
      <c r="C1759" s="1"/>
      <c r="D1759" s="5"/>
      <c r="J1759" s="531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1"/>
      <c r="DD1759" s="1"/>
    </row>
    <row r="1760" spans="1:108" s="3" customFormat="1">
      <c r="A1760" s="1"/>
      <c r="B1760" s="1"/>
      <c r="C1760" s="1"/>
      <c r="D1760" s="5"/>
      <c r="J1760" s="531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1"/>
      <c r="DD1760" s="1"/>
    </row>
    <row r="1761" spans="1:108" s="3" customFormat="1">
      <c r="A1761" s="1"/>
      <c r="B1761" s="1"/>
      <c r="C1761" s="1"/>
      <c r="D1761" s="5"/>
      <c r="J1761" s="531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1"/>
      <c r="DD1761" s="1"/>
    </row>
    <row r="1762" spans="1:108" s="3" customFormat="1">
      <c r="A1762" s="1"/>
      <c r="B1762" s="1"/>
      <c r="C1762" s="1"/>
      <c r="D1762" s="5"/>
      <c r="J1762" s="531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1"/>
      <c r="DD1762" s="1"/>
    </row>
    <row r="1763" spans="1:108" s="3" customFormat="1">
      <c r="A1763" s="1"/>
      <c r="B1763" s="1"/>
      <c r="C1763" s="1"/>
      <c r="D1763" s="5"/>
      <c r="J1763" s="531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1"/>
      <c r="DD1763" s="1"/>
    </row>
    <row r="1764" spans="1:108" s="3" customFormat="1">
      <c r="A1764" s="1"/>
      <c r="B1764" s="1"/>
      <c r="C1764" s="1"/>
      <c r="D1764" s="5"/>
      <c r="J1764" s="531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1"/>
      <c r="DD1764" s="1"/>
    </row>
    <row r="1765" spans="1:108" s="3" customFormat="1">
      <c r="A1765" s="1"/>
      <c r="B1765" s="1"/>
      <c r="C1765" s="1"/>
      <c r="D1765" s="5"/>
      <c r="J1765" s="531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1"/>
      <c r="DD1765" s="1"/>
    </row>
    <row r="1766" spans="1:108" s="3" customFormat="1">
      <c r="A1766" s="1"/>
      <c r="B1766" s="1"/>
      <c r="C1766" s="1"/>
      <c r="D1766" s="5"/>
      <c r="J1766" s="531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</row>
    <row r="1767" spans="1:108" s="3" customFormat="1">
      <c r="A1767" s="1"/>
      <c r="B1767" s="1"/>
      <c r="C1767" s="1"/>
      <c r="D1767" s="5"/>
      <c r="J1767" s="531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1"/>
      <c r="DD1767" s="1"/>
    </row>
    <row r="1768" spans="1:108" s="3" customFormat="1">
      <c r="A1768" s="1"/>
      <c r="B1768" s="1"/>
      <c r="C1768" s="1"/>
      <c r="D1768" s="5"/>
      <c r="J1768" s="531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</row>
    <row r="1769" spans="1:108" s="3" customFormat="1">
      <c r="A1769" s="1"/>
      <c r="B1769" s="1"/>
      <c r="C1769" s="1"/>
      <c r="D1769" s="5"/>
      <c r="J1769" s="531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</row>
    <row r="1770" spans="1:108" s="3" customFormat="1">
      <c r="A1770" s="1"/>
      <c r="B1770" s="1"/>
      <c r="C1770" s="1"/>
      <c r="D1770" s="5"/>
      <c r="J1770" s="531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1"/>
      <c r="DD1770" s="1"/>
    </row>
    <row r="1771" spans="1:108" s="3" customFormat="1">
      <c r="A1771" s="1"/>
      <c r="B1771" s="1"/>
      <c r="C1771" s="1"/>
      <c r="D1771" s="5"/>
      <c r="J1771" s="531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1"/>
      <c r="DD1771" s="1"/>
    </row>
    <row r="1772" spans="1:108" s="3" customFormat="1">
      <c r="A1772" s="1"/>
      <c r="B1772" s="1"/>
      <c r="C1772" s="1"/>
      <c r="D1772" s="5"/>
      <c r="J1772" s="531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1"/>
      <c r="DD1772" s="1"/>
    </row>
    <row r="1773" spans="1:108" s="3" customFormat="1">
      <c r="A1773" s="1"/>
      <c r="B1773" s="1"/>
      <c r="C1773" s="1"/>
      <c r="D1773" s="5"/>
      <c r="J1773" s="531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1"/>
      <c r="DD1773" s="1"/>
    </row>
    <row r="1774" spans="1:108" s="3" customFormat="1">
      <c r="A1774" s="1"/>
      <c r="B1774" s="1"/>
      <c r="C1774" s="1"/>
      <c r="D1774" s="5"/>
      <c r="J1774" s="531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1"/>
      <c r="DD1774" s="1"/>
    </row>
    <row r="1775" spans="1:108" s="3" customFormat="1">
      <c r="A1775" s="1"/>
      <c r="B1775" s="1"/>
      <c r="C1775" s="1"/>
      <c r="D1775" s="5"/>
      <c r="J1775" s="531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1"/>
      <c r="DD1775" s="1"/>
    </row>
    <row r="1776" spans="1:108" s="3" customFormat="1">
      <c r="A1776" s="1"/>
      <c r="B1776" s="1"/>
      <c r="C1776" s="1"/>
      <c r="D1776" s="5"/>
      <c r="J1776" s="531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1"/>
      <c r="DD1776" s="1"/>
    </row>
    <row r="1777" spans="1:108" s="3" customFormat="1">
      <c r="A1777" s="1"/>
      <c r="B1777" s="1"/>
      <c r="C1777" s="1"/>
      <c r="D1777" s="5"/>
      <c r="J1777" s="531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1"/>
      <c r="DD1777" s="1"/>
    </row>
    <row r="1778" spans="1:108" s="3" customFormat="1">
      <c r="A1778" s="1"/>
      <c r="B1778" s="1"/>
      <c r="C1778" s="1"/>
      <c r="D1778" s="5"/>
      <c r="J1778" s="531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</row>
    <row r="1779" spans="1:108" s="3" customFormat="1">
      <c r="A1779" s="1"/>
      <c r="B1779" s="1"/>
      <c r="C1779" s="1"/>
      <c r="D1779" s="5"/>
      <c r="J1779" s="531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</row>
    <row r="1780" spans="1:108" s="3" customFormat="1">
      <c r="A1780" s="1"/>
      <c r="B1780" s="1"/>
      <c r="C1780" s="1"/>
      <c r="D1780" s="5"/>
      <c r="J1780" s="531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</row>
    <row r="1781" spans="1:108" s="3" customFormat="1">
      <c r="A1781" s="1"/>
      <c r="B1781" s="1"/>
      <c r="C1781" s="1"/>
      <c r="D1781" s="5"/>
      <c r="J1781" s="531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1"/>
      <c r="DD1781" s="1"/>
    </row>
    <row r="1782" spans="1:108" s="3" customFormat="1">
      <c r="A1782" s="1"/>
      <c r="B1782" s="1"/>
      <c r="C1782" s="1"/>
      <c r="D1782" s="5"/>
      <c r="J1782" s="531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1"/>
      <c r="DD1782" s="1"/>
    </row>
    <row r="1783" spans="1:108" s="3" customFormat="1">
      <c r="A1783" s="1"/>
      <c r="B1783" s="1"/>
      <c r="C1783" s="1"/>
      <c r="D1783" s="5"/>
      <c r="J1783" s="531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</row>
    <row r="1784" spans="1:108" s="3" customFormat="1">
      <c r="A1784" s="1"/>
      <c r="B1784" s="1"/>
      <c r="C1784" s="1"/>
      <c r="D1784" s="5"/>
      <c r="J1784" s="531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1"/>
      <c r="DD1784" s="1"/>
    </row>
    <row r="1785" spans="1:108" s="3" customFormat="1">
      <c r="A1785" s="1"/>
      <c r="B1785" s="1"/>
      <c r="C1785" s="1"/>
      <c r="D1785" s="5"/>
      <c r="J1785" s="531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1"/>
      <c r="DD1785" s="1"/>
    </row>
    <row r="1786" spans="1:108" s="3" customFormat="1">
      <c r="A1786" s="1"/>
      <c r="B1786" s="1"/>
      <c r="C1786" s="1"/>
      <c r="D1786" s="5"/>
      <c r="J1786" s="531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1"/>
      <c r="DD1786" s="1"/>
    </row>
    <row r="1787" spans="1:108" s="3" customFormat="1">
      <c r="A1787" s="1"/>
      <c r="B1787" s="1"/>
      <c r="C1787" s="1"/>
      <c r="D1787" s="5"/>
      <c r="J1787" s="531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1"/>
      <c r="DD1787" s="1"/>
    </row>
    <row r="1788" spans="1:108" s="3" customFormat="1">
      <c r="A1788" s="1"/>
      <c r="B1788" s="1"/>
      <c r="C1788" s="1"/>
      <c r="D1788" s="5"/>
      <c r="J1788" s="531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1"/>
      <c r="DD1788" s="1"/>
    </row>
    <row r="1789" spans="1:108" s="3" customFormat="1">
      <c r="A1789" s="1"/>
      <c r="B1789" s="1"/>
      <c r="C1789" s="1"/>
      <c r="D1789" s="5"/>
      <c r="J1789" s="531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1"/>
      <c r="DD1789" s="1"/>
    </row>
    <row r="1790" spans="1:108" s="3" customFormat="1">
      <c r="A1790" s="1"/>
      <c r="B1790" s="1"/>
      <c r="C1790" s="1"/>
      <c r="D1790" s="5"/>
      <c r="J1790" s="531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1"/>
      <c r="DD1790" s="1"/>
    </row>
    <row r="1791" spans="1:108" s="3" customFormat="1">
      <c r="A1791" s="1"/>
      <c r="B1791" s="1"/>
      <c r="C1791" s="1"/>
      <c r="D1791" s="5"/>
      <c r="J1791" s="531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1"/>
      <c r="DD1791" s="1"/>
    </row>
    <row r="1792" spans="1:108" s="3" customFormat="1">
      <c r="A1792" s="1"/>
      <c r="B1792" s="1"/>
      <c r="C1792" s="1"/>
      <c r="D1792" s="5"/>
      <c r="J1792" s="531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1"/>
      <c r="DD1792" s="1"/>
    </row>
    <row r="1793" spans="1:108" s="3" customFormat="1">
      <c r="A1793" s="1"/>
      <c r="B1793" s="1"/>
      <c r="C1793" s="1"/>
      <c r="D1793" s="5"/>
      <c r="J1793" s="531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1"/>
      <c r="DD1793" s="1"/>
    </row>
    <row r="1794" spans="1:108" s="3" customFormat="1">
      <c r="A1794" s="1"/>
      <c r="B1794" s="1"/>
      <c r="C1794" s="1"/>
      <c r="D1794" s="5"/>
      <c r="J1794" s="531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1"/>
      <c r="DD1794" s="1"/>
    </row>
    <row r="1795" spans="1:108" s="3" customFormat="1">
      <c r="A1795" s="1"/>
      <c r="B1795" s="1"/>
      <c r="C1795" s="1"/>
      <c r="D1795" s="5"/>
      <c r="J1795" s="531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1"/>
      <c r="DD1795" s="1"/>
    </row>
    <row r="1796" spans="1:108" s="3" customFormat="1">
      <c r="A1796" s="1"/>
      <c r="B1796" s="1"/>
      <c r="C1796" s="1"/>
      <c r="D1796" s="5"/>
      <c r="J1796" s="531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1"/>
      <c r="DD1796" s="1"/>
    </row>
    <row r="1797" spans="1:108" s="3" customFormat="1">
      <c r="A1797" s="1"/>
      <c r="B1797" s="1"/>
      <c r="C1797" s="1"/>
      <c r="D1797" s="5"/>
      <c r="J1797" s="531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1"/>
      <c r="DD1797" s="1"/>
    </row>
    <row r="1798" spans="1:108" s="3" customFormat="1">
      <c r="A1798" s="1"/>
      <c r="B1798" s="1"/>
      <c r="C1798" s="1"/>
      <c r="D1798" s="5"/>
      <c r="J1798" s="531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1"/>
      <c r="DD1798" s="1"/>
    </row>
    <row r="1799" spans="1:108" s="3" customFormat="1">
      <c r="A1799" s="1"/>
      <c r="B1799" s="1"/>
      <c r="C1799" s="1"/>
      <c r="D1799" s="5"/>
      <c r="J1799" s="531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</row>
  </sheetData>
  <mergeCells count="974">
    <mergeCell ref="A1:B1"/>
    <mergeCell ref="A2:B2"/>
    <mergeCell ref="A4:I4"/>
    <mergeCell ref="A10:C11"/>
    <mergeCell ref="D10:D11"/>
    <mergeCell ref="A554:C554"/>
    <mergeCell ref="B608:C608"/>
    <mergeCell ref="A607:C607"/>
    <mergeCell ref="A14:C14"/>
    <mergeCell ref="A15:C15"/>
    <mergeCell ref="A16:C16"/>
    <mergeCell ref="A17:C17"/>
    <mergeCell ref="A18:C18"/>
    <mergeCell ref="A19:C19"/>
    <mergeCell ref="I10:I11"/>
    <mergeCell ref="F10:F11"/>
    <mergeCell ref="G10:G11"/>
    <mergeCell ref="H10:H11"/>
    <mergeCell ref="A12:C12"/>
    <mergeCell ref="A13:C13"/>
    <mergeCell ref="A26:C26"/>
    <mergeCell ref="A27:C27"/>
    <mergeCell ref="B28:C28"/>
    <mergeCell ref="B36:C36"/>
    <mergeCell ref="A38:C38"/>
    <mergeCell ref="A39:C39"/>
    <mergeCell ref="B20:C20"/>
    <mergeCell ref="B21:C21"/>
    <mergeCell ref="A22:C22"/>
    <mergeCell ref="A23:C23"/>
    <mergeCell ref="B24:C24"/>
    <mergeCell ref="B25:C25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61:C61"/>
    <mergeCell ref="A62:C62"/>
    <mergeCell ref="A63:C63"/>
    <mergeCell ref="A65:C65"/>
    <mergeCell ref="A66:C66"/>
    <mergeCell ref="A67:C67"/>
    <mergeCell ref="B52:C52"/>
    <mergeCell ref="A56:C56"/>
    <mergeCell ref="B57:C57"/>
    <mergeCell ref="B58:C58"/>
    <mergeCell ref="B59:C59"/>
    <mergeCell ref="B60:C60"/>
    <mergeCell ref="B75:C75"/>
    <mergeCell ref="B76:C76"/>
    <mergeCell ref="B77:C77"/>
    <mergeCell ref="B78:C78"/>
    <mergeCell ref="B80:C80"/>
    <mergeCell ref="B81:C81"/>
    <mergeCell ref="B68:C68"/>
    <mergeCell ref="B69:C69"/>
    <mergeCell ref="B70:C70"/>
    <mergeCell ref="B72:C72"/>
    <mergeCell ref="B73:C73"/>
    <mergeCell ref="B74:C74"/>
    <mergeCell ref="B71:C71"/>
    <mergeCell ref="B88:C88"/>
    <mergeCell ref="A89:C89"/>
    <mergeCell ref="B90:C90"/>
    <mergeCell ref="A92:C92"/>
    <mergeCell ref="B94:C94"/>
    <mergeCell ref="B95:C95"/>
    <mergeCell ref="B82:C82"/>
    <mergeCell ref="B83:C83"/>
    <mergeCell ref="B85:C85"/>
    <mergeCell ref="B86:C86"/>
    <mergeCell ref="B87:C87"/>
    <mergeCell ref="A84:C84"/>
    <mergeCell ref="A103:C103"/>
    <mergeCell ref="B104:C104"/>
    <mergeCell ref="B105:C105"/>
    <mergeCell ref="B106:C106"/>
    <mergeCell ref="B107:C107"/>
    <mergeCell ref="A108:C108"/>
    <mergeCell ref="B96:C96"/>
    <mergeCell ref="B97:C97"/>
    <mergeCell ref="B98:C98"/>
    <mergeCell ref="B99:C99"/>
    <mergeCell ref="B101:C101"/>
    <mergeCell ref="B102:C102"/>
    <mergeCell ref="A116:C116"/>
    <mergeCell ref="B117:C117"/>
    <mergeCell ref="B118:C118"/>
    <mergeCell ref="B119:C119"/>
    <mergeCell ref="B120:C120"/>
    <mergeCell ref="A121:C121"/>
    <mergeCell ref="B109:C109"/>
    <mergeCell ref="B110:C110"/>
    <mergeCell ref="B111:C111"/>
    <mergeCell ref="B112:C112"/>
    <mergeCell ref="B114:C114"/>
    <mergeCell ref="B115:C115"/>
    <mergeCell ref="B113:C113"/>
    <mergeCell ref="A131:C131"/>
    <mergeCell ref="B133:C133"/>
    <mergeCell ref="A134:C134"/>
    <mergeCell ref="B135:C135"/>
    <mergeCell ref="B136:C136"/>
    <mergeCell ref="A137:C137"/>
    <mergeCell ref="B123:C123"/>
    <mergeCell ref="B124:C124"/>
    <mergeCell ref="B125:C125"/>
    <mergeCell ref="B126:C126"/>
    <mergeCell ref="B127:C127"/>
    <mergeCell ref="A130:C130"/>
    <mergeCell ref="B132:C132"/>
    <mergeCell ref="B147:C147"/>
    <mergeCell ref="B148:C148"/>
    <mergeCell ref="B149:C149"/>
    <mergeCell ref="B150:C150"/>
    <mergeCell ref="B151:C151"/>
    <mergeCell ref="B152:C152"/>
    <mergeCell ref="A138:C138"/>
    <mergeCell ref="A139:C139"/>
    <mergeCell ref="B140:C140"/>
    <mergeCell ref="B144:C144"/>
    <mergeCell ref="B146:C146"/>
    <mergeCell ref="B160:C160"/>
    <mergeCell ref="B161:C161"/>
    <mergeCell ref="B162:C162"/>
    <mergeCell ref="B163:C163"/>
    <mergeCell ref="A166:C166"/>
    <mergeCell ref="B167:C167"/>
    <mergeCell ref="B153:C153"/>
    <mergeCell ref="B154:C154"/>
    <mergeCell ref="B155:C155"/>
    <mergeCell ref="B156:C156"/>
    <mergeCell ref="B157:C157"/>
    <mergeCell ref="B158:C158"/>
    <mergeCell ref="B164:C164"/>
    <mergeCell ref="B159:C159"/>
    <mergeCell ref="B165:C165"/>
    <mergeCell ref="A174:C174"/>
    <mergeCell ref="B175:C175"/>
    <mergeCell ref="B176:C176"/>
    <mergeCell ref="B177:C177"/>
    <mergeCell ref="A178:C178"/>
    <mergeCell ref="B179:C179"/>
    <mergeCell ref="B168:C168"/>
    <mergeCell ref="B169:C169"/>
    <mergeCell ref="B170:C170"/>
    <mergeCell ref="A171:C171"/>
    <mergeCell ref="A172:C172"/>
    <mergeCell ref="A173:C173"/>
    <mergeCell ref="B186:C186"/>
    <mergeCell ref="B187:C187"/>
    <mergeCell ref="A188:C188"/>
    <mergeCell ref="A189:C189"/>
    <mergeCell ref="A190:C190"/>
    <mergeCell ref="A191:C191"/>
    <mergeCell ref="B180:C180"/>
    <mergeCell ref="B181:C181"/>
    <mergeCell ref="A182:C182"/>
    <mergeCell ref="B183:C183"/>
    <mergeCell ref="A184:C184"/>
    <mergeCell ref="B185:C185"/>
    <mergeCell ref="A198:C198"/>
    <mergeCell ref="B199:C199"/>
    <mergeCell ref="B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210:C210"/>
    <mergeCell ref="A211:C211"/>
    <mergeCell ref="A212:C212"/>
    <mergeCell ref="A213:C213"/>
    <mergeCell ref="A214:C214"/>
    <mergeCell ref="A204:C204"/>
    <mergeCell ref="A205:C205"/>
    <mergeCell ref="A206:C206"/>
    <mergeCell ref="A207:C207"/>
    <mergeCell ref="A208:C208"/>
    <mergeCell ref="A209:C209"/>
    <mergeCell ref="A221:C221"/>
    <mergeCell ref="A225:C225"/>
    <mergeCell ref="A229:C229"/>
    <mergeCell ref="A233:C233"/>
    <mergeCell ref="B234:C234"/>
    <mergeCell ref="B235:C235"/>
    <mergeCell ref="A215:C215"/>
    <mergeCell ref="A216:C216"/>
    <mergeCell ref="A217:C217"/>
    <mergeCell ref="A218:C218"/>
    <mergeCell ref="A219:C219"/>
    <mergeCell ref="A220:C220"/>
    <mergeCell ref="A246:C246"/>
    <mergeCell ref="A247:C247"/>
    <mergeCell ref="B248:C248"/>
    <mergeCell ref="B249:C249"/>
    <mergeCell ref="A252:C252"/>
    <mergeCell ref="A254:C254"/>
    <mergeCell ref="B236:C236"/>
    <mergeCell ref="A239:C239"/>
    <mergeCell ref="A240:C240"/>
    <mergeCell ref="A241:C241"/>
    <mergeCell ref="A242:C242"/>
    <mergeCell ref="A243:C243"/>
    <mergeCell ref="A263:C263"/>
    <mergeCell ref="B265:C265"/>
    <mergeCell ref="B266:C266"/>
    <mergeCell ref="A269:C269"/>
    <mergeCell ref="B270:C270"/>
    <mergeCell ref="B271:C271"/>
    <mergeCell ref="A255:C255"/>
    <mergeCell ref="B256:C256"/>
    <mergeCell ref="A257:C257"/>
    <mergeCell ref="A258:C258"/>
    <mergeCell ref="B259:C259"/>
    <mergeCell ref="B260:C260"/>
    <mergeCell ref="A284:C284"/>
    <mergeCell ref="A285:C285"/>
    <mergeCell ref="A286:C286"/>
    <mergeCell ref="A287:C287"/>
    <mergeCell ref="A288:C288"/>
    <mergeCell ref="A289:C289"/>
    <mergeCell ref="A272:C272"/>
    <mergeCell ref="A273:C273"/>
    <mergeCell ref="A274:C274"/>
    <mergeCell ref="A278:C278"/>
    <mergeCell ref="A279:C279"/>
    <mergeCell ref="A282:C282"/>
    <mergeCell ref="B296:C296"/>
    <mergeCell ref="A298:C298"/>
    <mergeCell ref="A299:C299"/>
    <mergeCell ref="A300:C300"/>
    <mergeCell ref="A304:C304"/>
    <mergeCell ref="A290:C290"/>
    <mergeCell ref="A291:C291"/>
    <mergeCell ref="A292:C292"/>
    <mergeCell ref="A293:C293"/>
    <mergeCell ref="A294:C294"/>
    <mergeCell ref="B295:C295"/>
    <mergeCell ref="A297:C297"/>
    <mergeCell ref="A313:C313"/>
    <mergeCell ref="A314:C314"/>
    <mergeCell ref="A315:C315"/>
    <mergeCell ref="A316:C316"/>
    <mergeCell ref="A317:C317"/>
    <mergeCell ref="A318:C318"/>
    <mergeCell ref="A305:C305"/>
    <mergeCell ref="A308:C308"/>
    <mergeCell ref="A309:C309"/>
    <mergeCell ref="A310:C310"/>
    <mergeCell ref="A311:C311"/>
    <mergeCell ref="A312:C312"/>
    <mergeCell ref="A332:C332"/>
    <mergeCell ref="A333:C333"/>
    <mergeCell ref="A336:C336"/>
    <mergeCell ref="A337:C337"/>
    <mergeCell ref="A338:C338"/>
    <mergeCell ref="A339:C339"/>
    <mergeCell ref="A321:C321"/>
    <mergeCell ref="A322:C322"/>
    <mergeCell ref="A325:C325"/>
    <mergeCell ref="A329:C329"/>
    <mergeCell ref="A330:C330"/>
    <mergeCell ref="A331:C331"/>
    <mergeCell ref="A354:C354"/>
    <mergeCell ref="A355:C355"/>
    <mergeCell ref="A356:C356"/>
    <mergeCell ref="B357:C357"/>
    <mergeCell ref="B362:C362"/>
    <mergeCell ref="A365:C365"/>
    <mergeCell ref="A340:C340"/>
    <mergeCell ref="A341:C341"/>
    <mergeCell ref="A345:C345"/>
    <mergeCell ref="A349:C349"/>
    <mergeCell ref="A352:C352"/>
    <mergeCell ref="A353:C353"/>
    <mergeCell ref="A372:C372"/>
    <mergeCell ref="A373:C373"/>
    <mergeCell ref="A374:C374"/>
    <mergeCell ref="A375:C375"/>
    <mergeCell ref="A376:C376"/>
    <mergeCell ref="A377:C377"/>
    <mergeCell ref="A366:C366"/>
    <mergeCell ref="B367:C367"/>
    <mergeCell ref="A368:C368"/>
    <mergeCell ref="A369:C369"/>
    <mergeCell ref="B370:C370"/>
    <mergeCell ref="A371:C371"/>
    <mergeCell ref="A388:C388"/>
    <mergeCell ref="B389:C389"/>
    <mergeCell ref="B390:C390"/>
    <mergeCell ref="A394:C394"/>
    <mergeCell ref="B395:C395"/>
    <mergeCell ref="B396:C396"/>
    <mergeCell ref="B378:C378"/>
    <mergeCell ref="B379:C379"/>
    <mergeCell ref="A382:C382"/>
    <mergeCell ref="B383:C383"/>
    <mergeCell ref="B384:C384"/>
    <mergeCell ref="A387:C387"/>
    <mergeCell ref="A406:C406"/>
    <mergeCell ref="A407:C407"/>
    <mergeCell ref="A411:C411"/>
    <mergeCell ref="A412:C412"/>
    <mergeCell ref="A413:C413"/>
    <mergeCell ref="A414:C414"/>
    <mergeCell ref="A400:C400"/>
    <mergeCell ref="A401:C401"/>
    <mergeCell ref="A402:C402"/>
    <mergeCell ref="A403:C403"/>
    <mergeCell ref="B404:C404"/>
    <mergeCell ref="B405:C405"/>
    <mergeCell ref="A429:C429"/>
    <mergeCell ref="A430:C430"/>
    <mergeCell ref="B431:C431"/>
    <mergeCell ref="B432:C432"/>
    <mergeCell ref="A440:C440"/>
    <mergeCell ref="B441:C441"/>
    <mergeCell ref="A415:C415"/>
    <mergeCell ref="A416:C416"/>
    <mergeCell ref="A417:C417"/>
    <mergeCell ref="A418:C418"/>
    <mergeCell ref="A422:C422"/>
    <mergeCell ref="A426:C426"/>
    <mergeCell ref="B453:C453"/>
    <mergeCell ref="B454:C454"/>
    <mergeCell ref="A455:C455"/>
    <mergeCell ref="A456:C456"/>
    <mergeCell ref="A457:C457"/>
    <mergeCell ref="A458:C458"/>
    <mergeCell ref="B442:C442"/>
    <mergeCell ref="B443:C443"/>
    <mergeCell ref="B447:C447"/>
    <mergeCell ref="A450:C450"/>
    <mergeCell ref="A451:C451"/>
    <mergeCell ref="A452:C452"/>
    <mergeCell ref="A466:C466"/>
    <mergeCell ref="A467:C467"/>
    <mergeCell ref="A468:C468"/>
    <mergeCell ref="A469:C469"/>
    <mergeCell ref="A470:C470"/>
    <mergeCell ref="A471:C471"/>
    <mergeCell ref="A459:C459"/>
    <mergeCell ref="A460:C460"/>
    <mergeCell ref="B461:C461"/>
    <mergeCell ref="B462:C462"/>
    <mergeCell ref="A464:C464"/>
    <mergeCell ref="A465:C465"/>
    <mergeCell ref="A463:C463"/>
    <mergeCell ref="A485:C485"/>
    <mergeCell ref="A487:C487"/>
    <mergeCell ref="A488:C488"/>
    <mergeCell ref="A489:C489"/>
    <mergeCell ref="A490:C490"/>
    <mergeCell ref="B491:C491"/>
    <mergeCell ref="A472:C472"/>
    <mergeCell ref="B473:C473"/>
    <mergeCell ref="A474:C474"/>
    <mergeCell ref="A477:C477"/>
    <mergeCell ref="A481:C481"/>
    <mergeCell ref="A482:C482"/>
    <mergeCell ref="A486:C486"/>
    <mergeCell ref="A506:C506"/>
    <mergeCell ref="A507:C507"/>
    <mergeCell ref="A508:C508"/>
    <mergeCell ref="A509:C509"/>
    <mergeCell ref="A510:C510"/>
    <mergeCell ref="A514:C514"/>
    <mergeCell ref="A492:C492"/>
    <mergeCell ref="A496:C496"/>
    <mergeCell ref="A499:C499"/>
    <mergeCell ref="A500:C500"/>
    <mergeCell ref="A503:C503"/>
    <mergeCell ref="A505:C505"/>
    <mergeCell ref="A513:C513"/>
    <mergeCell ref="A504:C504"/>
    <mergeCell ref="A525:C525"/>
    <mergeCell ref="A526:C526"/>
    <mergeCell ref="B527:C527"/>
    <mergeCell ref="A528:C528"/>
    <mergeCell ref="A529:C529"/>
    <mergeCell ref="A533:C533"/>
    <mergeCell ref="A515:C515"/>
    <mergeCell ref="A518:C518"/>
    <mergeCell ref="A519:C519"/>
    <mergeCell ref="B520:C520"/>
    <mergeCell ref="B521:C521"/>
    <mergeCell ref="A524:C524"/>
    <mergeCell ref="A517:C517"/>
    <mergeCell ref="A516:C516"/>
    <mergeCell ref="A543:C543"/>
    <mergeCell ref="B544:C544"/>
    <mergeCell ref="B545:C545"/>
    <mergeCell ref="A546:C546"/>
    <mergeCell ref="A548:C548"/>
    <mergeCell ref="A549:C549"/>
    <mergeCell ref="A536:C536"/>
    <mergeCell ref="A538:C538"/>
    <mergeCell ref="B539:C539"/>
    <mergeCell ref="A540:C540"/>
    <mergeCell ref="A541:C541"/>
    <mergeCell ref="A542:C542"/>
    <mergeCell ref="A567:C567"/>
    <mergeCell ref="A568:C568"/>
    <mergeCell ref="A573:C573"/>
    <mergeCell ref="A578:C578"/>
    <mergeCell ref="A582:C582"/>
    <mergeCell ref="A588:C588"/>
    <mergeCell ref="A550:C550"/>
    <mergeCell ref="A555:C555"/>
    <mergeCell ref="A559:C559"/>
    <mergeCell ref="A563:C563"/>
    <mergeCell ref="B564:C564"/>
    <mergeCell ref="B565:C565"/>
    <mergeCell ref="A566:C566"/>
    <mergeCell ref="A603:C603"/>
    <mergeCell ref="A604:C604"/>
    <mergeCell ref="B605:C605"/>
    <mergeCell ref="B606:C606"/>
    <mergeCell ref="A610:C610"/>
    <mergeCell ref="A629:C629"/>
    <mergeCell ref="B589:C589"/>
    <mergeCell ref="B590:C590"/>
    <mergeCell ref="A595:C595"/>
    <mergeCell ref="A596:C596"/>
    <mergeCell ref="A597:C597"/>
    <mergeCell ref="A600:C600"/>
    <mergeCell ref="A598:C598"/>
    <mergeCell ref="B599:C599"/>
    <mergeCell ref="A602:C602"/>
    <mergeCell ref="A609:C609"/>
    <mergeCell ref="B637:C637"/>
    <mergeCell ref="A638:C638"/>
    <mergeCell ref="B640:C640"/>
    <mergeCell ref="B641:C641"/>
    <mergeCell ref="A642:C642"/>
    <mergeCell ref="B644:C644"/>
    <mergeCell ref="A630:C630"/>
    <mergeCell ref="A631:C631"/>
    <mergeCell ref="A632:C632"/>
    <mergeCell ref="A633:C633"/>
    <mergeCell ref="A634:C634"/>
    <mergeCell ref="A635:C635"/>
    <mergeCell ref="B659:C659"/>
    <mergeCell ref="B660:C660"/>
    <mergeCell ref="B661:C661"/>
    <mergeCell ref="B662:C662"/>
    <mergeCell ref="B663:C663"/>
    <mergeCell ref="B665:C665"/>
    <mergeCell ref="B652:C652"/>
    <mergeCell ref="A654:C654"/>
    <mergeCell ref="A655:C655"/>
    <mergeCell ref="B656:C656"/>
    <mergeCell ref="B657:C657"/>
    <mergeCell ref="B658:C658"/>
    <mergeCell ref="B674:C674"/>
    <mergeCell ref="B675:C675"/>
    <mergeCell ref="B676:C676"/>
    <mergeCell ref="B677:C677"/>
    <mergeCell ref="A681:C681"/>
    <mergeCell ref="A682:C682"/>
    <mergeCell ref="B666:C666"/>
    <mergeCell ref="B667:C667"/>
    <mergeCell ref="B668:C668"/>
    <mergeCell ref="A669:C669"/>
    <mergeCell ref="A672:C672"/>
    <mergeCell ref="B673:C673"/>
    <mergeCell ref="B691:C691"/>
    <mergeCell ref="B692:C692"/>
    <mergeCell ref="B693:C693"/>
    <mergeCell ref="B694:C694"/>
    <mergeCell ref="B695:C695"/>
    <mergeCell ref="B696:C696"/>
    <mergeCell ref="A683:C683"/>
    <mergeCell ref="B684:C684"/>
    <mergeCell ref="B685:C685"/>
    <mergeCell ref="A688:C688"/>
    <mergeCell ref="A689:C689"/>
    <mergeCell ref="B690:C690"/>
    <mergeCell ref="A687:C687"/>
    <mergeCell ref="A703:C703"/>
    <mergeCell ref="A704:C704"/>
    <mergeCell ref="A706:C706"/>
    <mergeCell ref="A707:C707"/>
    <mergeCell ref="B708:C708"/>
    <mergeCell ref="B709:C709"/>
    <mergeCell ref="B697:C697"/>
    <mergeCell ref="B698:C698"/>
    <mergeCell ref="A699:C699"/>
    <mergeCell ref="B700:C700"/>
    <mergeCell ref="B701:C701"/>
    <mergeCell ref="B702:C702"/>
    <mergeCell ref="A716:C716"/>
    <mergeCell ref="B717:C717"/>
    <mergeCell ref="B719:C719"/>
    <mergeCell ref="A720:C720"/>
    <mergeCell ref="B721:C721"/>
    <mergeCell ref="B722:C722"/>
    <mergeCell ref="B710:C710"/>
    <mergeCell ref="B711:C711"/>
    <mergeCell ref="B712:C712"/>
    <mergeCell ref="B713:C713"/>
    <mergeCell ref="B714:C714"/>
    <mergeCell ref="B715:C715"/>
    <mergeCell ref="A729:C729"/>
    <mergeCell ref="B730:C730"/>
    <mergeCell ref="B731:C731"/>
    <mergeCell ref="B732:C732"/>
    <mergeCell ref="A733:C733"/>
    <mergeCell ref="A734:C734"/>
    <mergeCell ref="B723:C723"/>
    <mergeCell ref="B724:C724"/>
    <mergeCell ref="A725:C725"/>
    <mergeCell ref="B726:C726"/>
    <mergeCell ref="B727:C727"/>
    <mergeCell ref="B728:C728"/>
    <mergeCell ref="A745:C745"/>
    <mergeCell ref="A746:C746"/>
    <mergeCell ref="A747:C747"/>
    <mergeCell ref="A748:C748"/>
    <mergeCell ref="A756:C756"/>
    <mergeCell ref="B757:C757"/>
    <mergeCell ref="B736:C736"/>
    <mergeCell ref="B738:C738"/>
    <mergeCell ref="A739:C739"/>
    <mergeCell ref="A741:C741"/>
    <mergeCell ref="A742:C742"/>
    <mergeCell ref="A744:C744"/>
    <mergeCell ref="B755:C755"/>
    <mergeCell ref="B750:C750"/>
    <mergeCell ref="B754:C754"/>
    <mergeCell ref="A768:C768"/>
    <mergeCell ref="A769:C769"/>
    <mergeCell ref="A770:C770"/>
    <mergeCell ref="A775:C775"/>
    <mergeCell ref="A776:C776"/>
    <mergeCell ref="A777:C777"/>
    <mergeCell ref="B758:C758"/>
    <mergeCell ref="B759:C759"/>
    <mergeCell ref="A760:C760"/>
    <mergeCell ref="A761:C761"/>
    <mergeCell ref="A762:C762"/>
    <mergeCell ref="A767:C767"/>
    <mergeCell ref="A784:C784"/>
    <mergeCell ref="A785:C785"/>
    <mergeCell ref="A786:C786"/>
    <mergeCell ref="A787:C787"/>
    <mergeCell ref="A788:C788"/>
    <mergeCell ref="A789:C789"/>
    <mergeCell ref="A778:C778"/>
    <mergeCell ref="A779:C779"/>
    <mergeCell ref="A780:C780"/>
    <mergeCell ref="A781:C781"/>
    <mergeCell ref="A782:C782"/>
    <mergeCell ref="A783:C783"/>
    <mergeCell ref="A796:C796"/>
    <mergeCell ref="A797:C797"/>
    <mergeCell ref="A798:C798"/>
    <mergeCell ref="A799:C799"/>
    <mergeCell ref="A800:C800"/>
    <mergeCell ref="A801:C801"/>
    <mergeCell ref="A790:C790"/>
    <mergeCell ref="A791:C791"/>
    <mergeCell ref="A792:C792"/>
    <mergeCell ref="A793:C793"/>
    <mergeCell ref="A794:C794"/>
    <mergeCell ref="B795:C795"/>
    <mergeCell ref="A808:C808"/>
    <mergeCell ref="A809:C809"/>
    <mergeCell ref="A810:C810"/>
    <mergeCell ref="A811:C811"/>
    <mergeCell ref="A812:C812"/>
    <mergeCell ref="A813:C813"/>
    <mergeCell ref="A802:C802"/>
    <mergeCell ref="B803:C803"/>
    <mergeCell ref="B804:C804"/>
    <mergeCell ref="A805:C805"/>
    <mergeCell ref="A806:C806"/>
    <mergeCell ref="A807:C807"/>
    <mergeCell ref="A825:C825"/>
    <mergeCell ref="B826:C826"/>
    <mergeCell ref="B827:C827"/>
    <mergeCell ref="A828:C828"/>
    <mergeCell ref="A829:C829"/>
    <mergeCell ref="A830:C830"/>
    <mergeCell ref="A817:C817"/>
    <mergeCell ref="A818:C818"/>
    <mergeCell ref="B819:C819"/>
    <mergeCell ref="A822:C822"/>
    <mergeCell ref="A823:C823"/>
    <mergeCell ref="B824:C824"/>
    <mergeCell ref="A837:C837"/>
    <mergeCell ref="A838:C838"/>
    <mergeCell ref="A839:C839"/>
    <mergeCell ref="A840:C840"/>
    <mergeCell ref="A841:C841"/>
    <mergeCell ref="A842:C842"/>
    <mergeCell ref="A831:C831"/>
    <mergeCell ref="A832:C832"/>
    <mergeCell ref="A833:C833"/>
    <mergeCell ref="A834:C834"/>
    <mergeCell ref="A835:C835"/>
    <mergeCell ref="A836:C836"/>
    <mergeCell ref="A850:C850"/>
    <mergeCell ref="A851:C851"/>
    <mergeCell ref="A852:C852"/>
    <mergeCell ref="A853:C853"/>
    <mergeCell ref="A854:C854"/>
    <mergeCell ref="A855:C855"/>
    <mergeCell ref="A843:C843"/>
    <mergeCell ref="A844:C844"/>
    <mergeCell ref="A845:C845"/>
    <mergeCell ref="A847:C847"/>
    <mergeCell ref="A848:C848"/>
    <mergeCell ref="A849:C849"/>
    <mergeCell ref="A846:C846"/>
    <mergeCell ref="A862:C862"/>
    <mergeCell ref="A863:C863"/>
    <mergeCell ref="A864:C864"/>
    <mergeCell ref="A865:C865"/>
    <mergeCell ref="A866:C866"/>
    <mergeCell ref="A869:C869"/>
    <mergeCell ref="A856:C856"/>
    <mergeCell ref="A857:C857"/>
    <mergeCell ref="A858:C858"/>
    <mergeCell ref="A859:C859"/>
    <mergeCell ref="A860:C860"/>
    <mergeCell ref="A861:C861"/>
    <mergeCell ref="B876:C876"/>
    <mergeCell ref="A877:C877"/>
    <mergeCell ref="A878:C878"/>
    <mergeCell ref="B879:C879"/>
    <mergeCell ref="A880:C880"/>
    <mergeCell ref="A881:C881"/>
    <mergeCell ref="A870:C870"/>
    <mergeCell ref="A871:C871"/>
    <mergeCell ref="A872:C872"/>
    <mergeCell ref="A873:C873"/>
    <mergeCell ref="A874:C874"/>
    <mergeCell ref="A875:C875"/>
    <mergeCell ref="B890:C890"/>
    <mergeCell ref="B891:C891"/>
    <mergeCell ref="B892:C892"/>
    <mergeCell ref="B893:C893"/>
    <mergeCell ref="B894:C894"/>
    <mergeCell ref="A895:C895"/>
    <mergeCell ref="B882:C882"/>
    <mergeCell ref="A883:C883"/>
    <mergeCell ref="A884:C884"/>
    <mergeCell ref="A887:C887"/>
    <mergeCell ref="A888:C888"/>
    <mergeCell ref="B889:C889"/>
    <mergeCell ref="A902:C902"/>
    <mergeCell ref="A903:C903"/>
    <mergeCell ref="A904:C904"/>
    <mergeCell ref="A906:C906"/>
    <mergeCell ref="B907:C907"/>
    <mergeCell ref="A908:C908"/>
    <mergeCell ref="A896:C896"/>
    <mergeCell ref="A897:C897"/>
    <mergeCell ref="A898:C898"/>
    <mergeCell ref="A899:C899"/>
    <mergeCell ref="A900:C900"/>
    <mergeCell ref="A901:C901"/>
    <mergeCell ref="A905:C905"/>
    <mergeCell ref="A915:C915"/>
    <mergeCell ref="A916:C916"/>
    <mergeCell ref="A918:C918"/>
    <mergeCell ref="A919:C919"/>
    <mergeCell ref="B920:C920"/>
    <mergeCell ref="A921:C921"/>
    <mergeCell ref="B909:C909"/>
    <mergeCell ref="A910:C910"/>
    <mergeCell ref="A911:C911"/>
    <mergeCell ref="A912:C912"/>
    <mergeCell ref="B913:C913"/>
    <mergeCell ref="B914:C914"/>
    <mergeCell ref="A928:C928"/>
    <mergeCell ref="B929:C929"/>
    <mergeCell ref="A931:C931"/>
    <mergeCell ref="B932:C932"/>
    <mergeCell ref="B933:C933"/>
    <mergeCell ref="A934:C934"/>
    <mergeCell ref="A922:C922"/>
    <mergeCell ref="A923:C923"/>
    <mergeCell ref="A924:C924"/>
    <mergeCell ref="A925:C925"/>
    <mergeCell ref="A926:C926"/>
    <mergeCell ref="A927:C927"/>
    <mergeCell ref="A944:C944"/>
    <mergeCell ref="A945:C945"/>
    <mergeCell ref="B946:C946"/>
    <mergeCell ref="A947:C947"/>
    <mergeCell ref="B948:C948"/>
    <mergeCell ref="B949:C949"/>
    <mergeCell ref="B935:C935"/>
    <mergeCell ref="A938:C938"/>
    <mergeCell ref="A940:C940"/>
    <mergeCell ref="A941:C941"/>
    <mergeCell ref="A942:C942"/>
    <mergeCell ref="A943:C943"/>
    <mergeCell ref="A956:C956"/>
    <mergeCell ref="A958:C958"/>
    <mergeCell ref="A959:C959"/>
    <mergeCell ref="A962:C962"/>
    <mergeCell ref="A963:C963"/>
    <mergeCell ref="B964:C964"/>
    <mergeCell ref="A950:C950"/>
    <mergeCell ref="A951:C951"/>
    <mergeCell ref="A952:C952"/>
    <mergeCell ref="A953:C953"/>
    <mergeCell ref="A954:C954"/>
    <mergeCell ref="A955:C955"/>
    <mergeCell ref="A957:C957"/>
    <mergeCell ref="A961:C961"/>
    <mergeCell ref="A960:C960"/>
    <mergeCell ref="B971:C971"/>
    <mergeCell ref="A972:C972"/>
    <mergeCell ref="A973:C973"/>
    <mergeCell ref="A974:C974"/>
    <mergeCell ref="A975:C975"/>
    <mergeCell ref="A976:C976"/>
    <mergeCell ref="A965:C965"/>
    <mergeCell ref="A966:C966"/>
    <mergeCell ref="A967:C967"/>
    <mergeCell ref="A968:C968"/>
    <mergeCell ref="A969:C969"/>
    <mergeCell ref="A970:C970"/>
    <mergeCell ref="A990:C990"/>
    <mergeCell ref="A991:C991"/>
    <mergeCell ref="A995:C995"/>
    <mergeCell ref="A996:C996"/>
    <mergeCell ref="B997:C997"/>
    <mergeCell ref="A1000:C1000"/>
    <mergeCell ref="A977:C977"/>
    <mergeCell ref="A978:C978"/>
    <mergeCell ref="A981:C981"/>
    <mergeCell ref="B982:C982"/>
    <mergeCell ref="A988:C988"/>
    <mergeCell ref="A989:C989"/>
    <mergeCell ref="A1011:C1011"/>
    <mergeCell ref="A1014:C1014"/>
    <mergeCell ref="A1015:C1015"/>
    <mergeCell ref="A1016:C1016"/>
    <mergeCell ref="A1019:C1019"/>
    <mergeCell ref="A1022:C1022"/>
    <mergeCell ref="A1001:C1001"/>
    <mergeCell ref="A1004:C1004"/>
    <mergeCell ref="B1005:C1005"/>
    <mergeCell ref="A1006:C1006"/>
    <mergeCell ref="A1007:C1007"/>
    <mergeCell ref="A1002:C1002"/>
    <mergeCell ref="B1003:C1003"/>
    <mergeCell ref="A1008:C1008"/>
    <mergeCell ref="A1009:C1009"/>
    <mergeCell ref="A1010:C1010"/>
    <mergeCell ref="A1046:C1046"/>
    <mergeCell ref="A1047:C1047"/>
    <mergeCell ref="A1048:C1048"/>
    <mergeCell ref="B1050:C1050"/>
    <mergeCell ref="A1054:C1054"/>
    <mergeCell ref="B1056:C1056"/>
    <mergeCell ref="B1025:C1025"/>
    <mergeCell ref="B1036:C1036"/>
    <mergeCell ref="B1040:C1040"/>
    <mergeCell ref="A1043:C1043"/>
    <mergeCell ref="A1044:C1044"/>
    <mergeCell ref="A1045:C1045"/>
    <mergeCell ref="B1075:C1075"/>
    <mergeCell ref="B1077:C1077"/>
    <mergeCell ref="B1078:C1078"/>
    <mergeCell ref="B1084:C1084"/>
    <mergeCell ref="B1085:C1085"/>
    <mergeCell ref="B1086:C1086"/>
    <mergeCell ref="B1057:C1057"/>
    <mergeCell ref="A1061:C1061"/>
    <mergeCell ref="B1064:C1064"/>
    <mergeCell ref="A1069:C1069"/>
    <mergeCell ref="A1071:C1071"/>
    <mergeCell ref="B1074:C1074"/>
    <mergeCell ref="A1095:C1095"/>
    <mergeCell ref="B1096:C1096"/>
    <mergeCell ref="A1097:C1097"/>
    <mergeCell ref="A1098:C1098"/>
    <mergeCell ref="B1100:C1100"/>
    <mergeCell ref="B1101:C1101"/>
    <mergeCell ref="A1088:C1088"/>
    <mergeCell ref="B1089:C1089"/>
    <mergeCell ref="B1090:C1090"/>
    <mergeCell ref="B1092:C1092"/>
    <mergeCell ref="A1093:C1093"/>
    <mergeCell ref="B1094:C1094"/>
    <mergeCell ref="B1091:C1091"/>
    <mergeCell ref="A1110:C1110"/>
    <mergeCell ref="B1111:C1111"/>
    <mergeCell ref="A1112:C1112"/>
    <mergeCell ref="A1113:C1113"/>
    <mergeCell ref="A1114:C1114"/>
    <mergeCell ref="B1115:C1115"/>
    <mergeCell ref="B1103:C1103"/>
    <mergeCell ref="A1104:C1104"/>
    <mergeCell ref="A1105:C1105"/>
    <mergeCell ref="A1106:C1106"/>
    <mergeCell ref="A1107:C1107"/>
    <mergeCell ref="A1109:C1109"/>
    <mergeCell ref="A1108:C1108"/>
    <mergeCell ref="B1126:C1126"/>
    <mergeCell ref="A1127:C1127"/>
    <mergeCell ref="A1128:C1128"/>
    <mergeCell ref="A1130:C1130"/>
    <mergeCell ref="A1131:C1131"/>
    <mergeCell ref="B1133:C1133"/>
    <mergeCell ref="B1119:C1119"/>
    <mergeCell ref="B1121:C1121"/>
    <mergeCell ref="B1122:C1122"/>
    <mergeCell ref="B1123:C1123"/>
    <mergeCell ref="B1124:C1124"/>
    <mergeCell ref="B1125:C1125"/>
    <mergeCell ref="B1129:C1129"/>
    <mergeCell ref="A1140:C1140"/>
    <mergeCell ref="A1141:C1141"/>
    <mergeCell ref="B1142:C1142"/>
    <mergeCell ref="B1143:C1143"/>
    <mergeCell ref="B1144:C1144"/>
    <mergeCell ref="A1145:C1145"/>
    <mergeCell ref="B1134:C1134"/>
    <mergeCell ref="B1135:C1135"/>
    <mergeCell ref="B1137:C1137"/>
    <mergeCell ref="B1138:C1138"/>
    <mergeCell ref="A1152:C1152"/>
    <mergeCell ref="A1153:C1153"/>
    <mergeCell ref="A1154:C1154"/>
    <mergeCell ref="A1155:C1155"/>
    <mergeCell ref="A1156:C1156"/>
    <mergeCell ref="A1157:C1157"/>
    <mergeCell ref="B1146:C1146"/>
    <mergeCell ref="B1147:C1147"/>
    <mergeCell ref="B1148:C1148"/>
    <mergeCell ref="A1149:C1149"/>
    <mergeCell ref="A1150:C1150"/>
    <mergeCell ref="A1151:C1151"/>
    <mergeCell ref="A1165:C1165"/>
    <mergeCell ref="A1166:C1166"/>
    <mergeCell ref="A1167:C1167"/>
    <mergeCell ref="A1169:C1169"/>
    <mergeCell ref="A1170:C1170"/>
    <mergeCell ref="A1171:C1171"/>
    <mergeCell ref="A1158:C1158"/>
    <mergeCell ref="A1159:C1159"/>
    <mergeCell ref="A1160:C1160"/>
    <mergeCell ref="A1161:C1161"/>
    <mergeCell ref="A1162:C1162"/>
    <mergeCell ref="A1163:C1163"/>
    <mergeCell ref="A1164:C1164"/>
    <mergeCell ref="A1191:C1191"/>
    <mergeCell ref="A1192:C1192"/>
    <mergeCell ref="B1194:C1194"/>
    <mergeCell ref="A1195:C1195"/>
    <mergeCell ref="B1196:C1196"/>
    <mergeCell ref="A1198:C1198"/>
    <mergeCell ref="A1172:C1172"/>
    <mergeCell ref="A1174:C1174"/>
    <mergeCell ref="A1175:C1175"/>
    <mergeCell ref="A1179:C1179"/>
    <mergeCell ref="A1183:C1183"/>
    <mergeCell ref="B1187:C1187"/>
    <mergeCell ref="A1212:C1212"/>
    <mergeCell ref="A1213:C1213"/>
    <mergeCell ref="A1216:C1216"/>
    <mergeCell ref="B1217:C1217"/>
    <mergeCell ref="A1218:C1218"/>
    <mergeCell ref="A1222:C1222"/>
    <mergeCell ref="A1199:C1199"/>
    <mergeCell ref="A1201:C1201"/>
    <mergeCell ref="A1204:C1204"/>
    <mergeCell ref="A1205:C1205"/>
    <mergeCell ref="A1208:C1208"/>
    <mergeCell ref="A1209:C1209"/>
    <mergeCell ref="A1239:C1239"/>
    <mergeCell ref="A1240:C1240"/>
    <mergeCell ref="A1244:C1244"/>
    <mergeCell ref="A1247:C1247"/>
    <mergeCell ref="A1248:C1248"/>
    <mergeCell ref="B1250:C1250"/>
    <mergeCell ref="A1223:C1223"/>
    <mergeCell ref="A1227:C1227"/>
    <mergeCell ref="A1228:C1228"/>
    <mergeCell ref="A1231:C1231"/>
    <mergeCell ref="A1232:C1232"/>
    <mergeCell ref="A1236:C1236"/>
    <mergeCell ref="A1266:C1266"/>
    <mergeCell ref="B1267:C1267"/>
    <mergeCell ref="B1271:C1271"/>
    <mergeCell ref="A1275:C1275"/>
    <mergeCell ref="A1277:C1277"/>
    <mergeCell ref="A1279:C1279"/>
    <mergeCell ref="A1251:C1251"/>
    <mergeCell ref="A1252:C1252"/>
    <mergeCell ref="B1253:C1253"/>
    <mergeCell ref="A1256:C1256"/>
    <mergeCell ref="B1257:C1257"/>
    <mergeCell ref="B1265:C1265"/>
    <mergeCell ref="A1296:C1296"/>
    <mergeCell ref="B1301:C1301"/>
    <mergeCell ref="B1304:C1304"/>
    <mergeCell ref="A1305:C1305"/>
    <mergeCell ref="B1306:C1306"/>
    <mergeCell ref="B1310:C1310"/>
    <mergeCell ref="A1280:C1280"/>
    <mergeCell ref="B1281:C1281"/>
    <mergeCell ref="A1284:C1284"/>
    <mergeCell ref="A1288:C1288"/>
    <mergeCell ref="A1292:C1292"/>
    <mergeCell ref="B1295:C1295"/>
    <mergeCell ref="A1366:C1366"/>
    <mergeCell ref="A1399:C1399"/>
    <mergeCell ref="A1392:C1392"/>
    <mergeCell ref="A1334:C1334"/>
    <mergeCell ref="A1338:C1338"/>
    <mergeCell ref="A1339:C1339"/>
    <mergeCell ref="A1313:C1313"/>
    <mergeCell ref="A1315:C1315"/>
    <mergeCell ref="A1316:C1316"/>
    <mergeCell ref="A1317:C1317"/>
    <mergeCell ref="A1318:C1318"/>
    <mergeCell ref="A1322:C1322"/>
    <mergeCell ref="A1326:C1326"/>
    <mergeCell ref="A1329:C1329"/>
    <mergeCell ref="A1330:C1330"/>
    <mergeCell ref="A1368:C1368"/>
    <mergeCell ref="B1369:C1369"/>
    <mergeCell ref="A1370:C1370"/>
    <mergeCell ref="A1374:C1374"/>
    <mergeCell ref="A1378:C1378"/>
    <mergeCell ref="A1395:C1395"/>
    <mergeCell ref="A1396:C1396"/>
    <mergeCell ref="A1397:C1397"/>
    <mergeCell ref="B1398:C1398"/>
    <mergeCell ref="C1:I1"/>
    <mergeCell ref="A5:I5"/>
    <mergeCell ref="E10:E11"/>
    <mergeCell ref="A1408:I1408"/>
    <mergeCell ref="A1409:I1409"/>
    <mergeCell ref="B1355:C1355"/>
    <mergeCell ref="A1356:C1356"/>
    <mergeCell ref="A1357:C1357"/>
    <mergeCell ref="A1361:C1361"/>
    <mergeCell ref="A1364:C1364"/>
    <mergeCell ref="A1365:C1365"/>
    <mergeCell ref="A1343:C1343"/>
    <mergeCell ref="A1346:C1346"/>
    <mergeCell ref="A1347:C1347"/>
    <mergeCell ref="B1348:C1348"/>
    <mergeCell ref="B1352:C1352"/>
    <mergeCell ref="A1354:C1354"/>
    <mergeCell ref="A1402:I1402"/>
    <mergeCell ref="A1384:C1384"/>
    <mergeCell ref="A1388:C1388"/>
    <mergeCell ref="B1389:C1389"/>
    <mergeCell ref="A1390:C1390"/>
    <mergeCell ref="B1391:C1391"/>
    <mergeCell ref="B1393:C1393"/>
  </mergeCells>
  <phoneticPr fontId="49" type="noConversion"/>
  <pageMargins left="0.78740157480314965" right="0" top="0.39370078740157483" bottom="0.39370078740157483" header="0.31496062992125984" footer="0.31496062992125984"/>
  <pageSetup paperSize="9" scale="85" orientation="landscape" r:id="rId1"/>
  <headerFoot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30.06.2021</vt:lpstr>
      <vt:lpstr>'30.06.2021'!Print_Titles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Floruncut</dc:creator>
  <cp:lastModifiedBy>Patricia Popa</cp:lastModifiedBy>
  <cp:lastPrinted>2021-07-22T05:56:39Z</cp:lastPrinted>
  <dcterms:created xsi:type="dcterms:W3CDTF">2019-03-28T09:59:10Z</dcterms:created>
  <dcterms:modified xsi:type="dcterms:W3CDTF">2021-08-02T08:54:45Z</dcterms:modified>
</cp:coreProperties>
</file>